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НВЛ" sheetId="1" r:id="rId1"/>
    <sheet name="НЛ" sheetId="2" r:id="rId2"/>
  </sheets>
  <definedNames>
    <definedName name="_xlnm._FilterDatabase" localSheetId="0" hidden="1">'НВЛ'!$A$7:$O$24</definedName>
    <definedName name="_xlnm._FilterDatabase" localSheetId="1" hidden="1">'НЛ'!$A$6:$T$53</definedName>
    <definedName name="_xlnm.Print_Titles" localSheetId="0">'НВЛ'!$7:$7</definedName>
    <definedName name="_xlnm.Print_Titles" localSheetId="1">'НЛ'!$6:$6</definedName>
    <definedName name="_xlnm.Print_Area" localSheetId="0">'НВЛ'!$A$1:$P$35</definedName>
    <definedName name="_xlnm.Print_Area" localSheetId="1">'НЛ'!$A$1:$P$66</definedName>
  </definedNames>
  <calcPr fullCalcOnLoad="1"/>
</workbook>
</file>

<file path=xl/sharedStrings.xml><?xml version="1.0" encoding="utf-8"?>
<sst xmlns="http://schemas.openxmlformats.org/spreadsheetml/2006/main" count="601" uniqueCount="130">
  <si>
    <t>Кол-во</t>
  </si>
  <si>
    <t>№ п/п</t>
  </si>
  <si>
    <t>Наименование ТМЦ</t>
  </si>
  <si>
    <t>Местонахождение НВЛ</t>
  </si>
  <si>
    <t>Техническое состояние ТМЦ</t>
  </si>
  <si>
    <t>Телефон контактного лица</t>
  </si>
  <si>
    <t>ТИП</t>
  </si>
  <si>
    <t>ИТОГО:</t>
  </si>
  <si>
    <t>Местонахождение НЛ</t>
  </si>
  <si>
    <t>Ед. изм.</t>
  </si>
  <si>
    <t>Подразделение Общества</t>
  </si>
  <si>
    <t>Приложение "Б" "Перечень невостребованных ликвидных (НВЛ) МТР"</t>
  </si>
  <si>
    <t>Приложение "В" "Перечень неликвидных (НЛ) МТР"</t>
  </si>
  <si>
    <t>Группа Б (Срок хранения МТР от 2 до 3 лет )</t>
  </si>
  <si>
    <t>Группа В (Срок хранения более 3 лет)</t>
  </si>
  <si>
    <t>НЛ</t>
  </si>
  <si>
    <t>НВЛ</t>
  </si>
  <si>
    <t>Наличие сертификатов качества, паспортов</t>
  </si>
  <si>
    <t>Группа А (Срок хранения МТР от 1 до 2 лет)</t>
  </si>
  <si>
    <t>Председатель инвентаризационной комиссии</t>
  </si>
  <si>
    <t>Члены инвентаризационной комиссии</t>
  </si>
  <si>
    <t>Руководитель ОСП</t>
  </si>
  <si>
    <t>Ответственный исполнитель</t>
  </si>
  <si>
    <t xml:space="preserve">                            ____________/___________/</t>
  </si>
  <si>
    <t>УТВЕРЖДАЮ</t>
  </si>
  <si>
    <t>____________________/___________/</t>
  </si>
  <si>
    <t>Генеральный директор</t>
  </si>
  <si>
    <t>/___/_________20__г.</t>
  </si>
  <si>
    <t>ФИО контактного лица (ответственного исполнителя)</t>
  </si>
  <si>
    <t>Дата первоначального поступления МТР *</t>
  </si>
  <si>
    <t>** указывается в соответствии с п.5 "РЕГЛАМЕНТА ПРОЦЕССА УПРАВЛЕНИЯ ЗАПАСАМИ НА СКЛАДАХ"</t>
  </si>
  <si>
    <t>* предоставляют сотрудники бухгалтерии Общества</t>
  </si>
  <si>
    <t>Возможная цена реализации без НДС (руб./ед.) **</t>
  </si>
  <si>
    <t>Возможная цена реализации с НДС (руб./ед.) **</t>
  </si>
  <si>
    <t>Стоимость реализации с НДС (руб.)</t>
  </si>
  <si>
    <t>Статус реализации</t>
  </si>
  <si>
    <t>Аппарат осветительный шахтный АОШ-1,6-2, шт</t>
  </si>
  <si>
    <t>шт</t>
  </si>
  <si>
    <t>Обособленное подразделение АО «Трест СЗМА» Кировск</t>
  </si>
  <si>
    <t>184250, Мурманская обл, г. Кировск, ул. Ленинградская, д.15, лит. Г (МОЛ Цуканов А.В.)</t>
  </si>
  <si>
    <t>нет</t>
  </si>
  <si>
    <t>В использовании не был</t>
  </si>
  <si>
    <t>Васюхичева Н.С.</t>
  </si>
  <si>
    <t>+7 (815) 31324 96</t>
  </si>
  <si>
    <t>км</t>
  </si>
  <si>
    <t>Кабель КОГРЭШ 3х6+1х2,5+1х2,5-660, км</t>
  </si>
  <si>
    <t>Клемма СМК 773-304, шт</t>
  </si>
  <si>
    <t xml:space="preserve">Обособленное подразделение АО «Трест СЗМА» Кировск </t>
  </si>
  <si>
    <t>184250, Мурманская обл, г. Кировск, ул. Ленинградская, д.15, лит. Г (МОЛ Васюхичева Н.С)</t>
  </si>
  <si>
    <t>В использовании не была</t>
  </si>
  <si>
    <t>Комплект провода заземления ГПП 1x4 (4 м)</t>
  </si>
  <si>
    <t>184250, Мурманская обл, г. Кировск, ул. Ленинградская, д.15, лит. Г (МОЛ Денисович Ф.В.)</t>
  </si>
  <si>
    <t>Отказное письмо</t>
  </si>
  <si>
    <t>Лента ЛГ-2 (38-45) ммх2х2,0 мм, шт</t>
  </si>
  <si>
    <t>Модуль релейный PLC-RPT 230UC/21, шт</t>
  </si>
  <si>
    <t>184250, Мурманская обл, г. Кировск, ул. Ленинградская, д.15, лит. Г (МОЛ Радишевский Е.А.)</t>
  </si>
  <si>
    <t>Соединитель на 25 пар жил 0,32-0,65мм 4000-G/TR</t>
  </si>
  <si>
    <t>Соединитель экрана 4460-D</t>
  </si>
  <si>
    <t>Структурный материал "Armorcast" 1,5мх97мм</t>
  </si>
  <si>
    <t>Доп. конт. блок LADN31 3НО+НЗ</t>
  </si>
  <si>
    <t>Есть сертификат соответствия до 2021 года</t>
  </si>
  <si>
    <t>Новое в упаковке</t>
  </si>
  <si>
    <t>Кабель ПТВ-ХЛ-П 2*2,5 , м</t>
  </si>
  <si>
    <t>м</t>
  </si>
  <si>
    <t>184250, Мурманская обл, г. Кировск, ул. Ленинградская, д.15, лит. Г (МОЛ Лагуткин А.В.)</t>
  </si>
  <si>
    <t>Патчкорд LC-FC (1 метр), шт</t>
  </si>
  <si>
    <t>Прижим кабельного лотка цинк-ламел. LP1000HDZL</t>
  </si>
  <si>
    <t>Авт.выкл. 3п 10А</t>
  </si>
  <si>
    <t>В использовании не были</t>
  </si>
  <si>
    <t>Авт.выкл. ВА 101 3/02 ДЭК, шт</t>
  </si>
  <si>
    <t>Авт.выкл. ВА 101 3/03 ДЭК</t>
  </si>
  <si>
    <t>Авт.выкл. ВА 47 29 1п 10А ИЭК</t>
  </si>
  <si>
    <t>Есть паспорт</t>
  </si>
  <si>
    <t>Авт.выкл. ВА 47 29 1п 16А ИЭК, шт</t>
  </si>
  <si>
    <t>Авт.выкл. ВА 47 29 1п 40А ИЭК, шт</t>
  </si>
  <si>
    <t>Авт.выкл. ВА 47 29 1п 63А ИЭК</t>
  </si>
  <si>
    <t xml:space="preserve">Авт.выкл. ВА 47 29 3п 10А ИЭК </t>
  </si>
  <si>
    <t>Авт.выкл. ВА 47 29 3п 16А ИЭК</t>
  </si>
  <si>
    <t>Авт.выкл. ВА 47 29 3п 2А ИЭК</t>
  </si>
  <si>
    <t>Авт.выкл. ВА 47 29 3п 32А ИЭК</t>
  </si>
  <si>
    <t>Блок ТЭНБ (шт) , шт</t>
  </si>
  <si>
    <t>Болт М10*30 кл.пр.5,8 цинк, кг</t>
  </si>
  <si>
    <t>кг</t>
  </si>
  <si>
    <t>пар</t>
  </si>
  <si>
    <t>Не ношенные</t>
  </si>
  <si>
    <t xml:space="preserve">Не ношенные </t>
  </si>
  <si>
    <t>Винт 4*16 (кг)</t>
  </si>
  <si>
    <t>Жилет меховой, шт</t>
  </si>
  <si>
    <t>Не использовался</t>
  </si>
  <si>
    <t>Источник питания БП-1А 12В,0.7А(шт), шт</t>
  </si>
  <si>
    <t>Кабель КВВГнг(А) ls  14*1 (м), м</t>
  </si>
  <si>
    <t>Кабель КВВГ 4*1,5 (м), м</t>
  </si>
  <si>
    <t>Кабель КУПЭВ 2*2*0,5 (м)</t>
  </si>
  <si>
    <t>Кабель ТППБбШнг(А) 10*2*0,64, км</t>
  </si>
  <si>
    <t>Кабель ТППШнг(А) 5*2*0,64, км</t>
  </si>
  <si>
    <t xml:space="preserve">Клипса -экстрактор </t>
  </si>
  <si>
    <t>Колодка под реле</t>
  </si>
  <si>
    <t>Контактор КМИ</t>
  </si>
  <si>
    <t>Метчик М 3</t>
  </si>
  <si>
    <t>Метчик М 6</t>
  </si>
  <si>
    <t>Метчик М 8</t>
  </si>
  <si>
    <t>Нагреватель ленточный, шт</t>
  </si>
  <si>
    <t>Пост ПС-1 сигнальный красный со звонком</t>
  </si>
  <si>
    <t>Розетка с заземлением наружняя (шт), шт</t>
  </si>
  <si>
    <t>Розетка с/з 1м с/у (шт), шт</t>
  </si>
  <si>
    <t xml:space="preserve">Сапоги рабочие утепленные, пар
Размеры:
45-2 пары
46-1 пара
47- 2 пары
</t>
  </si>
  <si>
    <t>Новые</t>
  </si>
  <si>
    <t>Скоба СД 60 двухлапковая (шт), шт</t>
  </si>
  <si>
    <t>Уровнемер ультразвуковой 7ML12011GE00 (шт), шт</t>
  </si>
  <si>
    <t>Устройство УТС-10, шт</t>
  </si>
  <si>
    <t>Не использовались</t>
  </si>
  <si>
    <t>Швеллер К-235-3 перфорир.полимер, пог.м</t>
  </si>
  <si>
    <t>Швеллер 6,5 дл.10 м(т), т</t>
  </si>
  <si>
    <t>т</t>
  </si>
  <si>
    <t>184250, Мурманская обл, г. Мончегорск, Привокзальное шоссе д. 9 (МОЛ Васюхичева Н.С)</t>
  </si>
  <si>
    <t>Швеллер 6,5 дл.12 м(т)</t>
  </si>
  <si>
    <t>Швеллер 8 (кг)</t>
  </si>
  <si>
    <t>Штанга М10 мм (2м)</t>
  </si>
  <si>
    <t>Штанга М8*2000  резьбовая(шт), шт</t>
  </si>
  <si>
    <t>Щиток защитный сварщика (шт)</t>
  </si>
  <si>
    <t>Новый</t>
  </si>
  <si>
    <t xml:space="preserve">Ботинки рабочие ЛЕТНИЕ (пара)
Размеры:
36- 1 пара
37-2 пары
38-1 пара
</t>
  </si>
  <si>
    <t>Ботинки рабочие ЗИМНИЕ (пара) Размеры
38- 3 пары
39 – 5 пар
46- 1 пара
47—2 пары</t>
  </si>
  <si>
    <t xml:space="preserve"> _______Петров С.А._________/___________/</t>
  </si>
  <si>
    <t>______  Абрамова О.Г. ______/___________/</t>
  </si>
  <si>
    <t xml:space="preserve">  _______Воеводина И.В._____/___________/</t>
  </si>
  <si>
    <t>_______Богданов О.Ю_______/___________/</t>
  </si>
  <si>
    <t>_______Васюхичева Н.С._____/___________/</t>
  </si>
  <si>
    <t>Перечень неликвидных (НЛ) МТР по состоянию на ___15.03.2024_________г.</t>
  </si>
  <si>
    <t>Перечень невостребованных ликвидных (НВЛ) МТР по состоянию на ___15.03.2024___г.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</si>
</sst>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00000000"/>
    <numFmt numFmtId="175" formatCode="0&quot; &quot;"/>
    <numFmt numFmtId="176" formatCode="00000000"/>
    <numFmt numFmtId="177" formatCode="0.000"/>
    <numFmt numFmtId="178" formatCode="#,##0.000"/>
    <numFmt numFmtId="179" formatCode="#,##0.00&quot;р.&quot;"/>
    <numFmt numFmtId="180" formatCode="#,##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-;\-* #,##0.000_-;_-* &quot;-&quot;??_-;_-@_-"/>
    <numFmt numFmtId="187" formatCode="_-* #,##0.000\ _₽_-;\-* #,##0.000\ _₽_-;_-* &quot;-&quot;???\ _₽_-;_-@_-"/>
    <numFmt numFmtId="188" formatCode="#,##0.00_ ;\-#,##0.00\ "/>
    <numFmt numFmtId="189" formatCode="0.00000"/>
    <numFmt numFmtId="190" formatCode="000000"/>
    <numFmt numFmtId="191" formatCode="#,##0.0000"/>
    <numFmt numFmtId="192" formatCode="#,##0.00000"/>
    <numFmt numFmtId="193" formatCode="#,##0.000000"/>
    <numFmt numFmtId="194" formatCode="#,##0.0000000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62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4" fontId="6" fillId="0" borderId="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62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4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39" fillId="29" borderId="14" xfId="52" applyNumberFormat="1" applyBorder="1" applyAlignment="1" applyProtection="1">
      <alignment horizontal="center" vertical="center" wrapText="1"/>
      <protection/>
    </xf>
    <xf numFmtId="4" fontId="39" fillId="29" borderId="14" xfId="52" applyNumberFormat="1" applyBorder="1" applyAlignment="1">
      <alignment horizontal="center" vertical="center" wrapText="1"/>
    </xf>
    <xf numFmtId="4" fontId="39" fillId="29" borderId="15" xfId="52" applyNumberFormat="1" applyBorder="1" applyAlignment="1">
      <alignment vertical="center" wrapText="1"/>
    </xf>
    <xf numFmtId="4" fontId="39" fillId="29" borderId="14" xfId="52" applyNumberForma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righ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BreakPreview" zoomScale="90" zoomScaleNormal="85" zoomScaleSheetLayoutView="90" zoomScalePageLayoutView="0" workbookViewId="0" topLeftCell="A1">
      <pane ySplit="7" topLeftCell="A9" activePane="bottomLeft" state="frozen"/>
      <selection pane="topLeft" activeCell="A1" sqref="A1"/>
      <selection pane="bottomLeft" activeCell="A4" sqref="A4:L4"/>
    </sheetView>
  </sheetViews>
  <sheetFormatPr defaultColWidth="9.00390625" defaultRowHeight="12.75"/>
  <cols>
    <col min="1" max="1" width="6.00390625" style="3" customWidth="1"/>
    <col min="2" max="2" width="9.75390625" style="2" customWidth="1"/>
    <col min="3" max="3" width="26.875" style="4" customWidth="1"/>
    <col min="4" max="4" width="15.25390625" style="5" customWidth="1"/>
    <col min="5" max="5" width="6.125" style="3" customWidth="1"/>
    <col min="6" max="6" width="10.00390625" style="9" customWidth="1"/>
    <col min="7" max="8" width="14.875" style="16" customWidth="1"/>
    <col min="9" max="10" width="15.125" style="16" customWidth="1"/>
    <col min="11" max="11" width="18.375" style="2" customWidth="1"/>
    <col min="12" max="12" width="16.375" style="6" customWidth="1"/>
    <col min="13" max="13" width="14.375" style="2" customWidth="1"/>
    <col min="14" max="14" width="17.00390625" style="2" customWidth="1"/>
    <col min="15" max="15" width="17.25390625" style="2" customWidth="1"/>
    <col min="16" max="16" width="19.25390625" style="2" customWidth="1"/>
    <col min="17" max="16384" width="9.125" style="2" customWidth="1"/>
  </cols>
  <sheetData>
    <row r="1" spans="1:15" s="21" customFormat="1" ht="15">
      <c r="A1" s="122" t="s">
        <v>11</v>
      </c>
      <c r="B1" s="122"/>
      <c r="C1" s="122"/>
      <c r="D1" s="122"/>
      <c r="E1" s="122"/>
      <c r="F1" s="122"/>
      <c r="G1" s="122"/>
      <c r="H1" s="10"/>
      <c r="I1" s="20"/>
      <c r="J1" s="20"/>
      <c r="N1" s="120"/>
      <c r="O1" s="120"/>
    </row>
    <row r="2" spans="1:15" s="21" customFormat="1" ht="15">
      <c r="A2" s="10"/>
      <c r="B2" s="22"/>
      <c r="C2" s="22"/>
      <c r="D2" s="23"/>
      <c r="E2" s="20"/>
      <c r="F2" s="24"/>
      <c r="G2" s="20"/>
      <c r="H2" s="20"/>
      <c r="I2" s="20"/>
      <c r="J2" s="20"/>
      <c r="N2" s="121" t="s">
        <v>24</v>
      </c>
      <c r="O2" s="121"/>
    </row>
    <row r="3" spans="1:15" s="21" customFormat="1" ht="15">
      <c r="A3" s="11"/>
      <c r="B3" s="25"/>
      <c r="C3" s="25"/>
      <c r="D3" s="25"/>
      <c r="E3" s="20"/>
      <c r="F3" s="24"/>
      <c r="G3" s="20"/>
      <c r="H3" s="20"/>
      <c r="I3" s="20"/>
      <c r="J3" s="20"/>
      <c r="N3" s="121" t="s">
        <v>26</v>
      </c>
      <c r="O3" s="121"/>
    </row>
    <row r="4" spans="1:15" s="26" customFormat="1" ht="15">
      <c r="A4" s="112" t="s">
        <v>129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N4" s="121" t="s">
        <v>25</v>
      </c>
      <c r="O4" s="121"/>
    </row>
    <row r="5" spans="1:15" s="27" customFormat="1" ht="16.5" customHeight="1">
      <c r="A5" s="11"/>
      <c r="C5" s="19"/>
      <c r="D5" s="28"/>
      <c r="F5" s="11"/>
      <c r="G5" s="29"/>
      <c r="H5" s="29"/>
      <c r="I5" s="29"/>
      <c r="J5" s="29"/>
      <c r="N5" s="123" t="s">
        <v>27</v>
      </c>
      <c r="O5" s="123"/>
    </row>
    <row r="6" spans="1:10" s="27" customFormat="1" ht="16.5" customHeight="1" thickBot="1">
      <c r="A6" s="11"/>
      <c r="C6" s="19"/>
      <c r="D6" s="28"/>
      <c r="F6" s="11"/>
      <c r="G6" s="29"/>
      <c r="H6" s="29"/>
      <c r="I6" s="29"/>
      <c r="J6" s="29"/>
    </row>
    <row r="7" spans="1:16" s="36" customFormat="1" ht="81.75" customHeight="1" thickBot="1">
      <c r="A7" s="30" t="s">
        <v>1</v>
      </c>
      <c r="B7" s="31" t="s">
        <v>6</v>
      </c>
      <c r="C7" s="31" t="s">
        <v>2</v>
      </c>
      <c r="D7" s="32" t="s">
        <v>29</v>
      </c>
      <c r="E7" s="31" t="s">
        <v>9</v>
      </c>
      <c r="F7" s="31" t="s">
        <v>0</v>
      </c>
      <c r="G7" s="33" t="s">
        <v>32</v>
      </c>
      <c r="H7" s="33" t="s">
        <v>33</v>
      </c>
      <c r="I7" s="33" t="s">
        <v>34</v>
      </c>
      <c r="J7" s="33" t="s">
        <v>10</v>
      </c>
      <c r="K7" s="31" t="s">
        <v>3</v>
      </c>
      <c r="L7" s="31" t="s">
        <v>17</v>
      </c>
      <c r="M7" s="34" t="s">
        <v>4</v>
      </c>
      <c r="N7" s="35" t="s">
        <v>28</v>
      </c>
      <c r="O7" s="35" t="s">
        <v>5</v>
      </c>
      <c r="P7" s="35" t="s">
        <v>35</v>
      </c>
    </row>
    <row r="8" spans="1:16" s="37" customFormat="1" ht="30" customHeight="1">
      <c r="A8" s="113" t="s">
        <v>18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5"/>
      <c r="P8" s="103"/>
    </row>
    <row r="9" spans="1:16" s="37" customFormat="1" ht="105" customHeight="1">
      <c r="A9" s="38">
        <v>1</v>
      </c>
      <c r="B9" s="38" t="s">
        <v>16</v>
      </c>
      <c r="C9" s="38" t="s">
        <v>36</v>
      </c>
      <c r="D9" s="98">
        <v>44515</v>
      </c>
      <c r="E9" s="38" t="s">
        <v>37</v>
      </c>
      <c r="F9" s="38">
        <v>1</v>
      </c>
      <c r="G9" s="106">
        <f>62408.33*0.75</f>
        <v>46806.2475</v>
      </c>
      <c r="H9" s="99">
        <f>G9*1.2</f>
        <v>56167.496999999996</v>
      </c>
      <c r="I9" s="99">
        <f>F9*H9</f>
        <v>56167.496999999996</v>
      </c>
      <c r="J9" s="100" t="s">
        <v>38</v>
      </c>
      <c r="K9" s="100" t="s">
        <v>39</v>
      </c>
      <c r="L9" s="100" t="s">
        <v>40</v>
      </c>
      <c r="M9" s="100" t="s">
        <v>41</v>
      </c>
      <c r="N9" s="100" t="s">
        <v>42</v>
      </c>
      <c r="O9" s="100" t="s">
        <v>43</v>
      </c>
      <c r="P9" s="95"/>
    </row>
    <row r="10" spans="1:16" s="37" customFormat="1" ht="105" customHeight="1">
      <c r="A10" s="38">
        <v>2</v>
      </c>
      <c r="B10" s="38" t="s">
        <v>16</v>
      </c>
      <c r="C10" s="100" t="s">
        <v>45</v>
      </c>
      <c r="D10" s="101">
        <v>44624</v>
      </c>
      <c r="E10" s="100" t="s">
        <v>44</v>
      </c>
      <c r="F10" s="100">
        <v>0.537</v>
      </c>
      <c r="G10" s="107">
        <f>561336.44*0.75</f>
        <v>421002.32999999996</v>
      </c>
      <c r="H10" s="99">
        <f aca="true" t="shared" si="0" ref="H10:H16">G10*1.2</f>
        <v>505202.7959999999</v>
      </c>
      <c r="I10" s="99">
        <f aca="true" t="shared" si="1" ref="I10:I17">F10*H10</f>
        <v>271293.90145199996</v>
      </c>
      <c r="J10" s="100" t="s">
        <v>38</v>
      </c>
      <c r="K10" s="100" t="s">
        <v>39</v>
      </c>
      <c r="L10" s="100" t="s">
        <v>40</v>
      </c>
      <c r="M10" s="100" t="s">
        <v>41</v>
      </c>
      <c r="N10" s="100" t="s">
        <v>42</v>
      </c>
      <c r="O10" s="100" t="s">
        <v>43</v>
      </c>
      <c r="P10" s="95"/>
    </row>
    <row r="11" spans="1:16" s="37" customFormat="1" ht="105" customHeight="1">
      <c r="A11" s="38">
        <v>3</v>
      </c>
      <c r="B11" s="38" t="s">
        <v>16</v>
      </c>
      <c r="C11" s="38" t="s">
        <v>46</v>
      </c>
      <c r="D11" s="98">
        <v>43742</v>
      </c>
      <c r="E11" s="38" t="s">
        <v>37</v>
      </c>
      <c r="F11" s="38">
        <v>140</v>
      </c>
      <c r="G11" s="106">
        <f>6.66*0.75</f>
        <v>4.995</v>
      </c>
      <c r="H11" s="99">
        <f t="shared" si="0"/>
        <v>5.994</v>
      </c>
      <c r="I11" s="99">
        <f t="shared" si="1"/>
        <v>839.16</v>
      </c>
      <c r="J11" s="38" t="s">
        <v>47</v>
      </c>
      <c r="K11" s="38" t="s">
        <v>48</v>
      </c>
      <c r="L11" s="38" t="s">
        <v>40</v>
      </c>
      <c r="M11" s="38" t="s">
        <v>49</v>
      </c>
      <c r="N11" s="38" t="s">
        <v>42</v>
      </c>
      <c r="O11" s="38" t="s">
        <v>43</v>
      </c>
      <c r="P11" s="95"/>
    </row>
    <row r="12" spans="1:16" s="37" customFormat="1" ht="105" customHeight="1">
      <c r="A12" s="38">
        <v>4</v>
      </c>
      <c r="B12" s="38" t="s">
        <v>16</v>
      </c>
      <c r="C12" s="38" t="s">
        <v>50</v>
      </c>
      <c r="D12" s="98">
        <v>44417</v>
      </c>
      <c r="E12" s="38" t="s">
        <v>37</v>
      </c>
      <c r="F12" s="38">
        <v>4</v>
      </c>
      <c r="G12" s="106">
        <f>903.23*0.75</f>
        <v>677.4225</v>
      </c>
      <c r="H12" s="99">
        <f>G12*1.2</f>
        <v>812.907</v>
      </c>
      <c r="I12" s="99">
        <f t="shared" si="1"/>
        <v>3251.628</v>
      </c>
      <c r="J12" s="38" t="s">
        <v>38</v>
      </c>
      <c r="K12" s="38" t="s">
        <v>51</v>
      </c>
      <c r="L12" s="38" t="s">
        <v>52</v>
      </c>
      <c r="M12" s="38" t="s">
        <v>41</v>
      </c>
      <c r="N12" s="38" t="s">
        <v>42</v>
      </c>
      <c r="O12" s="38" t="s">
        <v>43</v>
      </c>
      <c r="P12" s="95"/>
    </row>
    <row r="13" spans="1:16" s="37" customFormat="1" ht="105" customHeight="1">
      <c r="A13" s="38">
        <v>5</v>
      </c>
      <c r="B13" s="38" t="s">
        <v>16</v>
      </c>
      <c r="C13" s="38" t="s">
        <v>53</v>
      </c>
      <c r="D13" s="98">
        <v>44417</v>
      </c>
      <c r="E13" s="38" t="s">
        <v>37</v>
      </c>
      <c r="F13" s="38">
        <v>1</v>
      </c>
      <c r="G13" s="106">
        <f>167.65*0.75</f>
        <v>125.73750000000001</v>
      </c>
      <c r="H13" s="99">
        <f t="shared" si="0"/>
        <v>150.88500000000002</v>
      </c>
      <c r="I13" s="99">
        <f t="shared" si="1"/>
        <v>150.88500000000002</v>
      </c>
      <c r="J13" s="38" t="s">
        <v>38</v>
      </c>
      <c r="K13" s="38" t="s">
        <v>51</v>
      </c>
      <c r="L13" s="38" t="s">
        <v>52</v>
      </c>
      <c r="M13" s="38" t="s">
        <v>49</v>
      </c>
      <c r="N13" s="38" t="s">
        <v>42</v>
      </c>
      <c r="O13" s="38" t="s">
        <v>43</v>
      </c>
      <c r="P13" s="95"/>
    </row>
    <row r="14" spans="1:16" s="37" customFormat="1" ht="105" customHeight="1">
      <c r="A14" s="38">
        <v>6</v>
      </c>
      <c r="B14" s="38" t="s">
        <v>16</v>
      </c>
      <c r="C14" s="38" t="s">
        <v>54</v>
      </c>
      <c r="D14" s="98">
        <v>44432</v>
      </c>
      <c r="E14" s="38" t="s">
        <v>37</v>
      </c>
      <c r="F14" s="38">
        <v>7</v>
      </c>
      <c r="G14" s="106">
        <f>1269.75*0.75</f>
        <v>952.3125</v>
      </c>
      <c r="H14" s="99">
        <f t="shared" si="0"/>
        <v>1142.7749999999999</v>
      </c>
      <c r="I14" s="99">
        <f t="shared" si="1"/>
        <v>7999.424999999999</v>
      </c>
      <c r="J14" s="38" t="s">
        <v>38</v>
      </c>
      <c r="K14" s="38" t="s">
        <v>55</v>
      </c>
      <c r="L14" s="38" t="s">
        <v>40</v>
      </c>
      <c r="M14" s="38" t="s">
        <v>41</v>
      </c>
      <c r="N14" s="38" t="s">
        <v>42</v>
      </c>
      <c r="O14" s="38" t="s">
        <v>43</v>
      </c>
      <c r="P14" s="95"/>
    </row>
    <row r="15" spans="1:16" s="37" customFormat="1" ht="105" customHeight="1">
      <c r="A15" s="38">
        <v>7</v>
      </c>
      <c r="B15" s="38" t="s">
        <v>16</v>
      </c>
      <c r="C15" s="38" t="s">
        <v>56</v>
      </c>
      <c r="D15" s="98">
        <v>44431</v>
      </c>
      <c r="E15" s="38" t="s">
        <v>37</v>
      </c>
      <c r="F15" s="38">
        <v>34</v>
      </c>
      <c r="G15" s="106">
        <f>216.7*0.75</f>
        <v>162.52499999999998</v>
      </c>
      <c r="H15" s="99">
        <f t="shared" si="0"/>
        <v>195.02999999999997</v>
      </c>
      <c r="I15" s="99">
        <f t="shared" si="1"/>
        <v>6631.019999999999</v>
      </c>
      <c r="J15" s="38" t="s">
        <v>38</v>
      </c>
      <c r="K15" s="38" t="s">
        <v>51</v>
      </c>
      <c r="L15" s="38" t="s">
        <v>52</v>
      </c>
      <c r="M15" s="38" t="s">
        <v>41</v>
      </c>
      <c r="N15" s="38" t="s">
        <v>42</v>
      </c>
      <c r="O15" s="38" t="s">
        <v>43</v>
      </c>
      <c r="P15" s="95"/>
    </row>
    <row r="16" spans="1:16" s="37" customFormat="1" ht="105" customHeight="1">
      <c r="A16" s="38">
        <v>8</v>
      </c>
      <c r="B16" s="38" t="s">
        <v>16</v>
      </c>
      <c r="C16" s="38" t="s">
        <v>57</v>
      </c>
      <c r="D16" s="98">
        <v>44417</v>
      </c>
      <c r="E16" s="38" t="s">
        <v>37</v>
      </c>
      <c r="F16" s="38">
        <v>1</v>
      </c>
      <c r="G16" s="106">
        <f>141.57*0.75</f>
        <v>106.1775</v>
      </c>
      <c r="H16" s="99">
        <f t="shared" si="0"/>
        <v>127.41299999999998</v>
      </c>
      <c r="I16" s="99">
        <f t="shared" si="1"/>
        <v>127.41299999999998</v>
      </c>
      <c r="J16" s="38" t="s">
        <v>38</v>
      </c>
      <c r="K16" s="38" t="s">
        <v>51</v>
      </c>
      <c r="L16" s="38" t="s">
        <v>52</v>
      </c>
      <c r="M16" s="38" t="s">
        <v>41</v>
      </c>
      <c r="N16" s="38" t="s">
        <v>42</v>
      </c>
      <c r="O16" s="38" t="s">
        <v>43</v>
      </c>
      <c r="P16" s="95"/>
    </row>
    <row r="17" spans="1:16" s="37" customFormat="1" ht="105" customHeight="1">
      <c r="A17" s="38">
        <v>9</v>
      </c>
      <c r="B17" s="38" t="s">
        <v>16</v>
      </c>
      <c r="C17" s="38" t="s">
        <v>58</v>
      </c>
      <c r="D17" s="98">
        <v>44417</v>
      </c>
      <c r="E17" s="38" t="s">
        <v>37</v>
      </c>
      <c r="F17" s="38">
        <v>122</v>
      </c>
      <c r="G17" s="106">
        <f>871.45*0.75</f>
        <v>653.5875000000001</v>
      </c>
      <c r="H17" s="99">
        <f>G17*1.2</f>
        <v>784.3050000000001</v>
      </c>
      <c r="I17" s="99">
        <f t="shared" si="1"/>
        <v>95685.21</v>
      </c>
      <c r="J17" s="38" t="s">
        <v>38</v>
      </c>
      <c r="K17" s="38" t="s">
        <v>51</v>
      </c>
      <c r="L17" s="38" t="s">
        <v>52</v>
      </c>
      <c r="M17" s="38" t="s">
        <v>41</v>
      </c>
      <c r="N17" s="38" t="s">
        <v>42</v>
      </c>
      <c r="O17" s="38" t="s">
        <v>43</v>
      </c>
      <c r="P17" s="95"/>
    </row>
    <row r="18" spans="1:16" s="47" customFormat="1" ht="19.5" customHeight="1">
      <c r="A18" s="39"/>
      <c r="B18" s="40"/>
      <c r="C18" s="41" t="s">
        <v>7</v>
      </c>
      <c r="D18" s="42"/>
      <c r="E18" s="43"/>
      <c r="F18" s="44"/>
      <c r="G18" s="45"/>
      <c r="H18" s="45"/>
      <c r="I18" s="45">
        <f>SUM(I9:I17)</f>
        <v>442146.139452</v>
      </c>
      <c r="J18" s="45"/>
      <c r="K18" s="40"/>
      <c r="L18" s="46"/>
      <c r="M18" s="40"/>
      <c r="N18" s="40"/>
      <c r="O18" s="40"/>
      <c r="P18" s="40"/>
    </row>
    <row r="19" spans="1:16" s="37" customFormat="1" ht="21" customHeight="1">
      <c r="A19" s="116" t="s">
        <v>13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  <c r="P19" s="103"/>
    </row>
    <row r="20" spans="1:16" s="37" customFormat="1" ht="105" customHeight="1">
      <c r="A20" s="38">
        <v>1</v>
      </c>
      <c r="B20" s="38" t="s">
        <v>16</v>
      </c>
      <c r="C20" s="38" t="s">
        <v>59</v>
      </c>
      <c r="D20" s="98">
        <v>43698</v>
      </c>
      <c r="E20" s="38" t="s">
        <v>37</v>
      </c>
      <c r="F20" s="38">
        <v>8</v>
      </c>
      <c r="G20" s="106">
        <f>689.6*0.6</f>
        <v>413.76</v>
      </c>
      <c r="H20" s="38">
        <f>G20*1.2</f>
        <v>496.51199999999994</v>
      </c>
      <c r="I20" s="38">
        <f>F20*H20</f>
        <v>3972.0959999999995</v>
      </c>
      <c r="J20" s="38" t="s">
        <v>38</v>
      </c>
      <c r="K20" s="53" t="s">
        <v>51</v>
      </c>
      <c r="L20" s="38" t="s">
        <v>60</v>
      </c>
      <c r="M20" s="38" t="s">
        <v>61</v>
      </c>
      <c r="N20" s="38" t="s">
        <v>42</v>
      </c>
      <c r="O20" s="38" t="s">
        <v>43</v>
      </c>
      <c r="P20" s="95"/>
    </row>
    <row r="21" spans="1:16" s="37" customFormat="1" ht="105" customHeight="1">
      <c r="A21" s="38">
        <v>2</v>
      </c>
      <c r="B21" s="48" t="s">
        <v>16</v>
      </c>
      <c r="C21" s="104" t="s">
        <v>62</v>
      </c>
      <c r="D21" s="48">
        <v>43522</v>
      </c>
      <c r="E21" s="49" t="s">
        <v>63</v>
      </c>
      <c r="F21" s="50">
        <v>285</v>
      </c>
      <c r="G21" s="107">
        <f>114.24*0.6</f>
        <v>68.544</v>
      </c>
      <c r="H21" s="38">
        <f>G21*1.2</f>
        <v>82.2528</v>
      </c>
      <c r="I21" s="38">
        <f>F21*H21</f>
        <v>23442.048</v>
      </c>
      <c r="J21" s="52" t="s">
        <v>38</v>
      </c>
      <c r="K21" s="53" t="s">
        <v>64</v>
      </c>
      <c r="L21" s="54" t="s">
        <v>40</v>
      </c>
      <c r="M21" s="54" t="s">
        <v>61</v>
      </c>
      <c r="N21" s="55" t="s">
        <v>42</v>
      </c>
      <c r="O21" s="56" t="s">
        <v>43</v>
      </c>
      <c r="P21" s="95"/>
    </row>
    <row r="22" spans="1:16" s="37" customFormat="1" ht="105" customHeight="1">
      <c r="A22" s="38">
        <v>3</v>
      </c>
      <c r="B22" s="38" t="s">
        <v>16</v>
      </c>
      <c r="C22" s="38" t="s">
        <v>65</v>
      </c>
      <c r="D22" s="98">
        <v>44043</v>
      </c>
      <c r="E22" s="38" t="s">
        <v>37</v>
      </c>
      <c r="F22" s="38">
        <v>21</v>
      </c>
      <c r="G22" s="106">
        <f>58.39*0.6</f>
        <v>35.034</v>
      </c>
      <c r="H22" s="38">
        <f>G22*1.2</f>
        <v>42.0408</v>
      </c>
      <c r="I22" s="38">
        <f>F22*H22</f>
        <v>882.8567999999999</v>
      </c>
      <c r="J22" s="38" t="s">
        <v>38</v>
      </c>
      <c r="K22" s="38" t="s">
        <v>55</v>
      </c>
      <c r="L22" s="38" t="s">
        <v>40</v>
      </c>
      <c r="M22" s="38" t="s">
        <v>61</v>
      </c>
      <c r="N22" s="38" t="s">
        <v>42</v>
      </c>
      <c r="O22" s="38" t="s">
        <v>43</v>
      </c>
      <c r="P22" s="95"/>
    </row>
    <row r="23" spans="1:16" s="37" customFormat="1" ht="105" customHeight="1">
      <c r="A23" s="38">
        <v>4</v>
      </c>
      <c r="B23" s="48" t="s">
        <v>16</v>
      </c>
      <c r="C23" s="102" t="s">
        <v>66</v>
      </c>
      <c r="D23" s="48">
        <v>43616</v>
      </c>
      <c r="E23" s="49" t="s">
        <v>37</v>
      </c>
      <c r="F23" s="50">
        <v>854</v>
      </c>
      <c r="G23" s="107">
        <f>45.9*0.6</f>
        <v>27.54</v>
      </c>
      <c r="H23" s="38">
        <f>G23*1.2</f>
        <v>33.047999999999995</v>
      </c>
      <c r="I23" s="38">
        <f>F23*H23</f>
        <v>28222.991999999995</v>
      </c>
      <c r="J23" s="52" t="s">
        <v>38</v>
      </c>
      <c r="K23" s="53" t="s">
        <v>51</v>
      </c>
      <c r="L23" s="54" t="s">
        <v>52</v>
      </c>
      <c r="M23" s="54" t="s">
        <v>41</v>
      </c>
      <c r="N23" s="55" t="s">
        <v>42</v>
      </c>
      <c r="O23" s="56" t="s">
        <v>43</v>
      </c>
      <c r="P23" s="95"/>
    </row>
    <row r="24" spans="1:16" s="47" customFormat="1" ht="19.5" customHeight="1">
      <c r="A24" s="39"/>
      <c r="B24" s="40"/>
      <c r="C24" s="41" t="s">
        <v>7</v>
      </c>
      <c r="D24" s="42"/>
      <c r="E24" s="43"/>
      <c r="F24" s="44"/>
      <c r="G24" s="45"/>
      <c r="H24" s="45"/>
      <c r="I24" s="45">
        <f>SUM(I20:I23)</f>
        <v>56519.99279999999</v>
      </c>
      <c r="J24" s="45"/>
      <c r="K24" s="40"/>
      <c r="L24" s="46"/>
      <c r="M24" s="40"/>
      <c r="N24" s="40"/>
      <c r="O24" s="40"/>
      <c r="P24" s="40"/>
    </row>
    <row r="25" spans="1:12" s="58" customFormat="1" ht="15">
      <c r="A25" s="57"/>
      <c r="C25" s="59"/>
      <c r="D25" s="60"/>
      <c r="E25" s="57"/>
      <c r="F25" s="61"/>
      <c r="G25" s="62"/>
      <c r="H25" s="62"/>
      <c r="I25" s="62"/>
      <c r="J25" s="62"/>
      <c r="L25" s="37"/>
    </row>
    <row r="26" spans="1:14" s="58" customFormat="1" ht="15">
      <c r="A26" s="119" t="s">
        <v>31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14" s="23" customFormat="1" ht="15">
      <c r="A27" s="111" t="s">
        <v>30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3" s="23" customFormat="1" ht="15">
      <c r="A28" s="111" t="s">
        <v>19</v>
      </c>
      <c r="B28" s="111"/>
      <c r="C28" s="111"/>
      <c r="D28" s="64" t="s">
        <v>123</v>
      </c>
      <c r="E28" s="65"/>
      <c r="F28" s="66"/>
      <c r="G28" s="67"/>
      <c r="H28" s="67"/>
      <c r="I28" s="67"/>
      <c r="J28" s="67"/>
      <c r="L28" s="68"/>
      <c r="M28" s="22"/>
    </row>
    <row r="29" spans="1:13" s="23" customFormat="1" ht="15">
      <c r="A29" s="111" t="s">
        <v>20</v>
      </c>
      <c r="B29" s="111"/>
      <c r="C29" s="111"/>
      <c r="D29" s="64" t="s">
        <v>124</v>
      </c>
      <c r="E29" s="65"/>
      <c r="F29" s="66"/>
      <c r="G29" s="67"/>
      <c r="H29" s="67"/>
      <c r="I29" s="67"/>
      <c r="J29" s="67"/>
      <c r="L29" s="68"/>
      <c r="M29" s="22"/>
    </row>
    <row r="30" spans="1:13" s="23" customFormat="1" ht="15">
      <c r="A30" s="69"/>
      <c r="B30" s="69"/>
      <c r="C30" s="63"/>
      <c r="D30" s="64" t="s">
        <v>125</v>
      </c>
      <c r="E30" s="65"/>
      <c r="F30" s="66"/>
      <c r="G30" s="67"/>
      <c r="H30" s="67"/>
      <c r="I30" s="67"/>
      <c r="J30" s="67"/>
      <c r="L30" s="68"/>
      <c r="M30" s="22"/>
    </row>
    <row r="31" spans="1:13" s="23" customFormat="1" ht="15">
      <c r="A31" s="69"/>
      <c r="B31" s="69"/>
      <c r="C31" s="63"/>
      <c r="D31" s="64" t="s">
        <v>23</v>
      </c>
      <c r="E31" s="65"/>
      <c r="F31" s="66"/>
      <c r="G31" s="67"/>
      <c r="H31" s="67"/>
      <c r="I31" s="67"/>
      <c r="J31" s="67"/>
      <c r="L31" s="68"/>
      <c r="M31" s="22"/>
    </row>
    <row r="32" spans="1:13" s="23" customFormat="1" ht="15">
      <c r="A32" s="111" t="s">
        <v>21</v>
      </c>
      <c r="B32" s="111"/>
      <c r="C32" s="111"/>
      <c r="D32" s="64" t="s">
        <v>126</v>
      </c>
      <c r="E32" s="65"/>
      <c r="F32" s="66"/>
      <c r="G32" s="67"/>
      <c r="H32" s="67"/>
      <c r="I32" s="67"/>
      <c r="J32" s="67"/>
      <c r="L32" s="68"/>
      <c r="M32" s="22"/>
    </row>
    <row r="33" spans="1:13" s="23" customFormat="1" ht="15">
      <c r="A33" s="110" t="s">
        <v>22</v>
      </c>
      <c r="B33" s="110"/>
      <c r="C33" s="110"/>
      <c r="D33" s="64" t="s">
        <v>127</v>
      </c>
      <c r="E33" s="65"/>
      <c r="F33" s="66"/>
      <c r="G33" s="67"/>
      <c r="H33" s="67"/>
      <c r="I33" s="67"/>
      <c r="J33" s="67"/>
      <c r="L33" s="68"/>
      <c r="M33" s="22"/>
    </row>
    <row r="34" spans="1:13" s="23" customFormat="1" ht="15">
      <c r="A34" s="65"/>
      <c r="C34" s="22"/>
      <c r="D34" s="64" t="s">
        <v>23</v>
      </c>
      <c r="E34" s="65"/>
      <c r="F34" s="66"/>
      <c r="G34" s="67"/>
      <c r="H34" s="67"/>
      <c r="I34" s="67"/>
      <c r="J34" s="67"/>
      <c r="L34" s="68"/>
      <c r="M34" s="22"/>
    </row>
    <row r="35" spans="1:13" s="23" customFormat="1" ht="15">
      <c r="A35" s="65"/>
      <c r="C35" s="22"/>
      <c r="D35" s="64" t="s">
        <v>23</v>
      </c>
      <c r="E35" s="65"/>
      <c r="F35" s="66"/>
      <c r="G35" s="67"/>
      <c r="H35" s="67"/>
      <c r="I35" s="67"/>
      <c r="J35" s="67"/>
      <c r="L35" s="68"/>
      <c r="M35" s="22"/>
    </row>
    <row r="36" spans="1:12" s="58" customFormat="1" ht="15">
      <c r="A36" s="57"/>
      <c r="C36" s="59"/>
      <c r="D36" s="60"/>
      <c r="E36" s="57"/>
      <c r="F36" s="61"/>
      <c r="G36" s="62"/>
      <c r="H36" s="62"/>
      <c r="I36" s="62"/>
      <c r="J36" s="62"/>
      <c r="L36" s="37"/>
    </row>
    <row r="37" spans="1:12" s="58" customFormat="1" ht="15">
      <c r="A37" s="57"/>
      <c r="C37" s="59"/>
      <c r="D37" s="60"/>
      <c r="E37" s="57"/>
      <c r="F37" s="61"/>
      <c r="G37" s="62"/>
      <c r="H37" s="62"/>
      <c r="I37" s="62"/>
      <c r="J37" s="62"/>
      <c r="L37" s="37"/>
    </row>
    <row r="38" spans="1:12" s="58" customFormat="1" ht="15">
      <c r="A38" s="57"/>
      <c r="C38" s="59"/>
      <c r="D38" s="60"/>
      <c r="E38" s="57"/>
      <c r="F38" s="61"/>
      <c r="G38" s="62"/>
      <c r="H38" s="62"/>
      <c r="I38" s="62"/>
      <c r="J38" s="62"/>
      <c r="L38" s="37"/>
    </row>
    <row r="39" spans="1:12" s="58" customFormat="1" ht="15">
      <c r="A39" s="57"/>
      <c r="C39" s="59"/>
      <c r="D39" s="60"/>
      <c r="E39" s="57"/>
      <c r="F39" s="61"/>
      <c r="G39" s="62"/>
      <c r="H39" s="62"/>
      <c r="I39" s="62"/>
      <c r="J39" s="62"/>
      <c r="L39" s="37"/>
    </row>
    <row r="40" spans="1:12" s="58" customFormat="1" ht="15">
      <c r="A40" s="57"/>
      <c r="C40" s="59"/>
      <c r="D40" s="60"/>
      <c r="E40" s="57"/>
      <c r="F40" s="61"/>
      <c r="G40" s="62"/>
      <c r="H40" s="62"/>
      <c r="I40" s="62"/>
      <c r="J40" s="62"/>
      <c r="L40" s="37"/>
    </row>
  </sheetData>
  <sheetProtection/>
  <autoFilter ref="A7:O24"/>
  <mergeCells count="15">
    <mergeCell ref="N1:O1"/>
    <mergeCell ref="N2:O2"/>
    <mergeCell ref="N4:O4"/>
    <mergeCell ref="A1:G1"/>
    <mergeCell ref="N3:O3"/>
    <mergeCell ref="N5:O5"/>
    <mergeCell ref="A33:C33"/>
    <mergeCell ref="A27:N27"/>
    <mergeCell ref="A28:C28"/>
    <mergeCell ref="A29:C29"/>
    <mergeCell ref="A32:C32"/>
    <mergeCell ref="A4:L4"/>
    <mergeCell ref="A8:O8"/>
    <mergeCell ref="A19:O19"/>
    <mergeCell ref="A26:N26"/>
  </mergeCells>
  <printOptions/>
  <pageMargins left="0.23622047244094488" right="0.23622047244094488" top="0.1968503937007874" bottom="0.1968503937007874" header="0.31496062992125984" footer="0.31496062992125984"/>
  <pageSetup fitToHeight="0" fitToWidth="1" horizontalDpi="600" verticalDpi="600" orientation="landscape" paperSize="9" scale="61" r:id="rId1"/>
  <rowBreaks count="2" manualBreakCount="2">
    <brk id="13" max="15" man="1"/>
    <brk id="2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5"/>
  <sheetViews>
    <sheetView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F36" sqref="F36"/>
      <selection pane="bottomLeft" activeCell="D11" sqref="D11"/>
    </sheetView>
  </sheetViews>
  <sheetFormatPr defaultColWidth="9.00390625" defaultRowHeight="12.75"/>
  <cols>
    <col min="1" max="1" width="4.375" style="1" customWidth="1"/>
    <col min="2" max="2" width="6.00390625" style="7" customWidth="1"/>
    <col min="3" max="3" width="30.75390625" style="8" customWidth="1"/>
    <col min="4" max="4" width="13.875" style="15" customWidth="1"/>
    <col min="5" max="5" width="7.00390625" style="1" customWidth="1"/>
    <col min="6" max="6" width="8.625" style="13" customWidth="1"/>
    <col min="7" max="8" width="16.625" style="17" customWidth="1"/>
    <col min="9" max="9" width="15.25390625" style="17" customWidth="1"/>
    <col min="10" max="10" width="16.875" style="17" customWidth="1"/>
    <col min="11" max="11" width="20.25390625" style="7" customWidth="1"/>
    <col min="12" max="12" width="12.75390625" style="14" customWidth="1"/>
    <col min="13" max="13" width="13.75390625" style="8" customWidth="1"/>
    <col min="14" max="14" width="17.125" style="7" customWidth="1"/>
    <col min="15" max="15" width="18.625" style="7" customWidth="1"/>
    <col min="16" max="16" width="16.75390625" style="7" customWidth="1"/>
    <col min="17" max="16384" width="9.125" style="7" customWidth="1"/>
  </cols>
  <sheetData>
    <row r="1" spans="1:13" s="26" customFormat="1" ht="15">
      <c r="A1" s="12" t="s">
        <v>12</v>
      </c>
      <c r="B1" s="70"/>
      <c r="C1" s="71"/>
      <c r="D1" s="72"/>
      <c r="E1" s="73"/>
      <c r="F1" s="36"/>
      <c r="G1" s="73"/>
      <c r="H1" s="73"/>
      <c r="I1" s="73"/>
      <c r="J1" s="73"/>
      <c r="M1" s="18"/>
    </row>
    <row r="2" spans="2:16" s="26" customFormat="1" ht="15">
      <c r="B2" s="74"/>
      <c r="C2" s="74"/>
      <c r="D2" s="75"/>
      <c r="E2" s="73"/>
      <c r="F2" s="36"/>
      <c r="G2" s="73"/>
      <c r="H2" s="73"/>
      <c r="I2" s="73"/>
      <c r="J2" s="73"/>
      <c r="M2" s="18"/>
      <c r="N2" s="121" t="s">
        <v>24</v>
      </c>
      <c r="O2" s="121"/>
      <c r="P2" s="96"/>
    </row>
    <row r="3" spans="1:16" s="26" customFormat="1" ht="15">
      <c r="A3" s="124" t="s">
        <v>128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1" t="s">
        <v>26</v>
      </c>
      <c r="O3" s="121"/>
      <c r="P3" s="96"/>
    </row>
    <row r="4" spans="1:16" s="26" customFormat="1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21" t="s">
        <v>25</v>
      </c>
      <c r="O4" s="121"/>
      <c r="P4" s="96"/>
    </row>
    <row r="5" spans="1:16" s="21" customFormat="1" ht="19.5" customHeight="1" thickBot="1">
      <c r="A5" s="24"/>
      <c r="C5" s="76"/>
      <c r="D5" s="77"/>
      <c r="F5" s="24"/>
      <c r="G5" s="20"/>
      <c r="H5" s="20"/>
      <c r="I5" s="20"/>
      <c r="J5" s="20"/>
      <c r="M5" s="76"/>
      <c r="N5" s="127" t="s">
        <v>27</v>
      </c>
      <c r="O5" s="127"/>
      <c r="P5" s="97"/>
    </row>
    <row r="6" spans="1:16" s="36" customFormat="1" ht="72" thickBot="1">
      <c r="A6" s="30" t="s">
        <v>1</v>
      </c>
      <c r="B6" s="31" t="s">
        <v>6</v>
      </c>
      <c r="C6" s="31" t="s">
        <v>2</v>
      </c>
      <c r="D6" s="32" t="s">
        <v>29</v>
      </c>
      <c r="E6" s="31" t="s">
        <v>9</v>
      </c>
      <c r="F6" s="31" t="s">
        <v>0</v>
      </c>
      <c r="G6" s="33" t="s">
        <v>32</v>
      </c>
      <c r="H6" s="33" t="s">
        <v>33</v>
      </c>
      <c r="I6" s="33" t="s">
        <v>34</v>
      </c>
      <c r="J6" s="33" t="s">
        <v>10</v>
      </c>
      <c r="K6" s="31" t="s">
        <v>8</v>
      </c>
      <c r="L6" s="31" t="s">
        <v>17</v>
      </c>
      <c r="M6" s="34" t="s">
        <v>4</v>
      </c>
      <c r="N6" s="35" t="s">
        <v>28</v>
      </c>
      <c r="O6" s="35" t="s">
        <v>5</v>
      </c>
      <c r="P6" s="35" t="s">
        <v>35</v>
      </c>
    </row>
    <row r="7" spans="1:15" s="36" customFormat="1" ht="14.25">
      <c r="A7" s="125" t="s">
        <v>14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6" s="68" customFormat="1" ht="87.75" customHeight="1">
      <c r="A8" s="54">
        <v>1</v>
      </c>
      <c r="B8" s="54" t="s">
        <v>15</v>
      </c>
      <c r="C8" s="78" t="s">
        <v>67</v>
      </c>
      <c r="D8" s="79">
        <v>42004</v>
      </c>
      <c r="E8" s="80" t="s">
        <v>37</v>
      </c>
      <c r="F8" s="81">
        <v>2</v>
      </c>
      <c r="G8" s="108">
        <f>45*0.5</f>
        <v>22.5</v>
      </c>
      <c r="H8" s="52">
        <f>G8*1.2</f>
        <v>27</v>
      </c>
      <c r="I8" s="52">
        <f>F8*H8</f>
        <v>54</v>
      </c>
      <c r="J8" s="52" t="s">
        <v>38</v>
      </c>
      <c r="K8" s="53" t="s">
        <v>48</v>
      </c>
      <c r="L8" s="54" t="s">
        <v>40</v>
      </c>
      <c r="M8" s="82" t="s">
        <v>68</v>
      </c>
      <c r="N8" s="53" t="s">
        <v>42</v>
      </c>
      <c r="O8" s="56" t="s">
        <v>43</v>
      </c>
      <c r="P8" s="55"/>
    </row>
    <row r="9" spans="1:16" s="68" customFormat="1" ht="87.75" customHeight="1">
      <c r="A9" s="38">
        <v>2</v>
      </c>
      <c r="B9" s="38" t="s">
        <v>15</v>
      </c>
      <c r="C9" s="83" t="s">
        <v>69</v>
      </c>
      <c r="D9" s="48">
        <v>42004</v>
      </c>
      <c r="E9" s="49" t="s">
        <v>37</v>
      </c>
      <c r="F9" s="50">
        <v>5</v>
      </c>
      <c r="G9" s="109">
        <f>85.8*0.5</f>
        <v>42.9</v>
      </c>
      <c r="H9" s="52">
        <f aca="true" t="shared" si="0" ref="H9:H52">G9*1.2</f>
        <v>51.48</v>
      </c>
      <c r="I9" s="52">
        <f aca="true" t="shared" si="1" ref="I9:I52">F9*H9</f>
        <v>257.4</v>
      </c>
      <c r="J9" s="51" t="s">
        <v>38</v>
      </c>
      <c r="K9" s="55" t="s">
        <v>48</v>
      </c>
      <c r="L9" s="38" t="s">
        <v>40</v>
      </c>
      <c r="M9" s="84" t="s">
        <v>68</v>
      </c>
      <c r="N9" s="55" t="s">
        <v>42</v>
      </c>
      <c r="O9" s="56" t="s">
        <v>43</v>
      </c>
      <c r="P9" s="55"/>
    </row>
    <row r="10" spans="1:16" s="68" customFormat="1" ht="87.75" customHeight="1">
      <c r="A10" s="54">
        <v>3</v>
      </c>
      <c r="B10" s="54" t="s">
        <v>15</v>
      </c>
      <c r="C10" s="78" t="s">
        <v>70</v>
      </c>
      <c r="D10" s="79">
        <v>42004</v>
      </c>
      <c r="E10" s="80" t="s">
        <v>37</v>
      </c>
      <c r="F10" s="81">
        <v>1</v>
      </c>
      <c r="G10" s="108">
        <f>85.8*0.5</f>
        <v>42.9</v>
      </c>
      <c r="H10" s="52">
        <f t="shared" si="0"/>
        <v>51.48</v>
      </c>
      <c r="I10" s="52">
        <f t="shared" si="1"/>
        <v>51.48</v>
      </c>
      <c r="J10" s="52" t="s">
        <v>38</v>
      </c>
      <c r="K10" s="53" t="s">
        <v>48</v>
      </c>
      <c r="L10" s="54" t="s">
        <v>40</v>
      </c>
      <c r="M10" s="82" t="s">
        <v>41</v>
      </c>
      <c r="N10" s="53" t="s">
        <v>42</v>
      </c>
      <c r="O10" s="56" t="s">
        <v>43</v>
      </c>
      <c r="P10" s="55"/>
    </row>
    <row r="11" spans="1:16" s="68" customFormat="1" ht="87.75" customHeight="1">
      <c r="A11" s="38">
        <v>4</v>
      </c>
      <c r="B11" s="38" t="s">
        <v>15</v>
      </c>
      <c r="C11" s="83" t="s">
        <v>71</v>
      </c>
      <c r="D11" s="48">
        <v>42004</v>
      </c>
      <c r="E11" s="49" t="s">
        <v>37</v>
      </c>
      <c r="F11" s="50">
        <v>69</v>
      </c>
      <c r="G11" s="109">
        <f>22.45*0.5</f>
        <v>11.225</v>
      </c>
      <c r="H11" s="52">
        <f t="shared" si="0"/>
        <v>13.469999999999999</v>
      </c>
      <c r="I11" s="52">
        <f t="shared" si="1"/>
        <v>929.43</v>
      </c>
      <c r="J11" s="51" t="s">
        <v>38</v>
      </c>
      <c r="K11" s="53" t="s">
        <v>48</v>
      </c>
      <c r="L11" s="38" t="s">
        <v>72</v>
      </c>
      <c r="M11" s="84" t="s">
        <v>68</v>
      </c>
      <c r="N11" s="55" t="s">
        <v>42</v>
      </c>
      <c r="O11" s="56" t="s">
        <v>43</v>
      </c>
      <c r="P11" s="55"/>
    </row>
    <row r="12" spans="1:16" s="68" customFormat="1" ht="87.75" customHeight="1">
      <c r="A12" s="54">
        <v>5</v>
      </c>
      <c r="B12" s="54" t="s">
        <v>15</v>
      </c>
      <c r="C12" s="78" t="s">
        <v>73</v>
      </c>
      <c r="D12" s="79">
        <v>42004</v>
      </c>
      <c r="E12" s="80" t="s">
        <v>37</v>
      </c>
      <c r="F12" s="81">
        <v>47</v>
      </c>
      <c r="G12" s="108">
        <f>22.38*0.5</f>
        <v>11.19</v>
      </c>
      <c r="H12" s="52">
        <f t="shared" si="0"/>
        <v>13.427999999999999</v>
      </c>
      <c r="I12" s="52">
        <f t="shared" si="1"/>
        <v>631.116</v>
      </c>
      <c r="J12" s="52" t="s">
        <v>38</v>
      </c>
      <c r="K12" s="53" t="s">
        <v>48</v>
      </c>
      <c r="L12" s="54" t="s">
        <v>72</v>
      </c>
      <c r="M12" s="82" t="s">
        <v>68</v>
      </c>
      <c r="N12" s="53" t="s">
        <v>42</v>
      </c>
      <c r="O12" s="56" t="s">
        <v>43</v>
      </c>
      <c r="P12" s="55"/>
    </row>
    <row r="13" spans="1:16" s="68" customFormat="1" ht="87.75" customHeight="1">
      <c r="A13" s="38">
        <v>6</v>
      </c>
      <c r="B13" s="38" t="s">
        <v>15</v>
      </c>
      <c r="C13" s="83" t="s">
        <v>74</v>
      </c>
      <c r="D13" s="48">
        <v>42004</v>
      </c>
      <c r="E13" s="49" t="s">
        <v>37</v>
      </c>
      <c r="F13" s="50">
        <v>1</v>
      </c>
      <c r="G13" s="109">
        <f>20.77*0.5</f>
        <v>10.385</v>
      </c>
      <c r="H13" s="52">
        <f t="shared" si="0"/>
        <v>12.462</v>
      </c>
      <c r="I13" s="52">
        <f t="shared" si="1"/>
        <v>12.462</v>
      </c>
      <c r="J13" s="51" t="s">
        <v>38</v>
      </c>
      <c r="K13" s="53" t="s">
        <v>48</v>
      </c>
      <c r="L13" s="38" t="s">
        <v>40</v>
      </c>
      <c r="M13" s="84" t="s">
        <v>41</v>
      </c>
      <c r="N13" s="55" t="s">
        <v>42</v>
      </c>
      <c r="O13" s="56" t="s">
        <v>43</v>
      </c>
      <c r="P13" s="55"/>
    </row>
    <row r="14" spans="1:16" s="68" customFormat="1" ht="87.75" customHeight="1">
      <c r="A14" s="54">
        <v>7</v>
      </c>
      <c r="B14" s="54" t="s">
        <v>15</v>
      </c>
      <c r="C14" s="78" t="s">
        <v>75</v>
      </c>
      <c r="D14" s="79">
        <v>42004</v>
      </c>
      <c r="E14" s="80" t="s">
        <v>37</v>
      </c>
      <c r="F14" s="81">
        <v>4</v>
      </c>
      <c r="G14" s="108">
        <f>31.64*0.5</f>
        <v>15.82</v>
      </c>
      <c r="H14" s="52">
        <f t="shared" si="0"/>
        <v>18.983999999999998</v>
      </c>
      <c r="I14" s="52">
        <f t="shared" si="1"/>
        <v>75.93599999999999</v>
      </c>
      <c r="J14" s="52" t="s">
        <v>38</v>
      </c>
      <c r="K14" s="53" t="s">
        <v>48</v>
      </c>
      <c r="L14" s="54" t="s">
        <v>40</v>
      </c>
      <c r="M14" s="82" t="s">
        <v>68</v>
      </c>
      <c r="N14" s="53" t="s">
        <v>42</v>
      </c>
      <c r="O14" s="56" t="s">
        <v>43</v>
      </c>
      <c r="P14" s="55"/>
    </row>
    <row r="15" spans="1:16" s="68" customFormat="1" ht="87.75" customHeight="1">
      <c r="A15" s="38">
        <v>8</v>
      </c>
      <c r="B15" s="38" t="s">
        <v>15</v>
      </c>
      <c r="C15" s="83" t="s">
        <v>76</v>
      </c>
      <c r="D15" s="48">
        <v>42004</v>
      </c>
      <c r="E15" s="49" t="s">
        <v>37</v>
      </c>
      <c r="F15" s="50">
        <v>18</v>
      </c>
      <c r="G15" s="109">
        <f>60.38*0.5</f>
        <v>30.19</v>
      </c>
      <c r="H15" s="52">
        <f t="shared" si="0"/>
        <v>36.228</v>
      </c>
      <c r="I15" s="52">
        <f t="shared" si="1"/>
        <v>652.104</v>
      </c>
      <c r="J15" s="51" t="s">
        <v>38</v>
      </c>
      <c r="K15" s="53" t="s">
        <v>48</v>
      </c>
      <c r="L15" s="38" t="s">
        <v>40</v>
      </c>
      <c r="M15" s="84" t="s">
        <v>68</v>
      </c>
      <c r="N15" s="55" t="s">
        <v>42</v>
      </c>
      <c r="O15" s="56" t="s">
        <v>43</v>
      </c>
      <c r="P15" s="55"/>
    </row>
    <row r="16" spans="1:16" s="68" customFormat="1" ht="87.75" customHeight="1">
      <c r="A16" s="54">
        <v>9</v>
      </c>
      <c r="B16" s="54" t="s">
        <v>15</v>
      </c>
      <c r="C16" s="78" t="s">
        <v>77</v>
      </c>
      <c r="D16" s="79">
        <v>42004</v>
      </c>
      <c r="E16" s="80" t="s">
        <v>37</v>
      </c>
      <c r="F16" s="81">
        <v>3</v>
      </c>
      <c r="G16" s="108">
        <f>59.85*0.5</f>
        <v>29.925</v>
      </c>
      <c r="H16" s="52">
        <f t="shared" si="0"/>
        <v>35.91</v>
      </c>
      <c r="I16" s="52">
        <f t="shared" si="1"/>
        <v>107.72999999999999</v>
      </c>
      <c r="J16" s="52" t="s">
        <v>38</v>
      </c>
      <c r="K16" s="53" t="s">
        <v>48</v>
      </c>
      <c r="L16" s="54" t="s">
        <v>40</v>
      </c>
      <c r="M16" s="82" t="s">
        <v>68</v>
      </c>
      <c r="N16" s="53" t="s">
        <v>42</v>
      </c>
      <c r="O16" s="56" t="s">
        <v>43</v>
      </c>
      <c r="P16" s="55"/>
    </row>
    <row r="17" spans="1:16" s="68" customFormat="1" ht="87.75" customHeight="1">
      <c r="A17" s="38">
        <v>10</v>
      </c>
      <c r="B17" s="38" t="s">
        <v>15</v>
      </c>
      <c r="C17" s="83" t="s">
        <v>78</v>
      </c>
      <c r="D17" s="48">
        <v>42004</v>
      </c>
      <c r="E17" s="49" t="s">
        <v>37</v>
      </c>
      <c r="F17" s="50">
        <v>1</v>
      </c>
      <c r="G17" s="109">
        <f>92.75*0.5</f>
        <v>46.375</v>
      </c>
      <c r="H17" s="52">
        <f t="shared" si="0"/>
        <v>55.65</v>
      </c>
      <c r="I17" s="52">
        <f t="shared" si="1"/>
        <v>55.65</v>
      </c>
      <c r="J17" s="51" t="s">
        <v>38</v>
      </c>
      <c r="K17" s="53" t="s">
        <v>48</v>
      </c>
      <c r="L17" s="38" t="s">
        <v>40</v>
      </c>
      <c r="M17" s="84" t="s">
        <v>41</v>
      </c>
      <c r="N17" s="55" t="s">
        <v>42</v>
      </c>
      <c r="O17" s="56" t="s">
        <v>43</v>
      </c>
      <c r="P17" s="55"/>
    </row>
    <row r="18" spans="1:16" s="68" customFormat="1" ht="87.75" customHeight="1">
      <c r="A18" s="54">
        <v>11</v>
      </c>
      <c r="B18" s="54" t="s">
        <v>15</v>
      </c>
      <c r="C18" s="78" t="s">
        <v>79</v>
      </c>
      <c r="D18" s="79">
        <v>42004</v>
      </c>
      <c r="E18" s="80" t="s">
        <v>37</v>
      </c>
      <c r="F18" s="81">
        <v>20</v>
      </c>
      <c r="G18" s="108">
        <f>67.37*0.5</f>
        <v>33.685</v>
      </c>
      <c r="H18" s="52">
        <f t="shared" si="0"/>
        <v>40.422000000000004</v>
      </c>
      <c r="I18" s="52">
        <f t="shared" si="1"/>
        <v>808.44</v>
      </c>
      <c r="J18" s="52" t="s">
        <v>38</v>
      </c>
      <c r="K18" s="53" t="s">
        <v>48</v>
      </c>
      <c r="L18" s="54" t="s">
        <v>40</v>
      </c>
      <c r="M18" s="82" t="s">
        <v>68</v>
      </c>
      <c r="N18" s="53" t="s">
        <v>42</v>
      </c>
      <c r="O18" s="56" t="s">
        <v>43</v>
      </c>
      <c r="P18" s="55"/>
    </row>
    <row r="19" spans="1:16" s="68" customFormat="1" ht="87.75" customHeight="1">
      <c r="A19" s="38">
        <v>12</v>
      </c>
      <c r="B19" s="54" t="s">
        <v>15</v>
      </c>
      <c r="C19" s="78" t="s">
        <v>80</v>
      </c>
      <c r="D19" s="79">
        <v>42004</v>
      </c>
      <c r="E19" s="80" t="s">
        <v>37</v>
      </c>
      <c r="F19" s="81">
        <v>3</v>
      </c>
      <c r="G19" s="108">
        <f>1400*0.5</f>
        <v>700</v>
      </c>
      <c r="H19" s="52">
        <f t="shared" si="0"/>
        <v>840</v>
      </c>
      <c r="I19" s="52">
        <f t="shared" si="1"/>
        <v>2520</v>
      </c>
      <c r="J19" s="52" t="s">
        <v>38</v>
      </c>
      <c r="K19" s="53" t="s">
        <v>114</v>
      </c>
      <c r="L19" s="54" t="s">
        <v>40</v>
      </c>
      <c r="M19" s="82" t="s">
        <v>41</v>
      </c>
      <c r="N19" s="53" t="s">
        <v>42</v>
      </c>
      <c r="O19" s="56" t="s">
        <v>43</v>
      </c>
      <c r="P19" s="55"/>
    </row>
    <row r="20" spans="1:16" s="68" customFormat="1" ht="87.75" customHeight="1">
      <c r="A20" s="54">
        <v>13</v>
      </c>
      <c r="B20" s="38" t="s">
        <v>15</v>
      </c>
      <c r="C20" s="83" t="s">
        <v>81</v>
      </c>
      <c r="D20" s="48">
        <v>42004</v>
      </c>
      <c r="E20" s="49" t="s">
        <v>82</v>
      </c>
      <c r="F20" s="50">
        <v>20</v>
      </c>
      <c r="G20" s="109">
        <f>45.24*0.5</f>
        <v>22.62</v>
      </c>
      <c r="H20" s="52">
        <f t="shared" si="0"/>
        <v>27.144000000000002</v>
      </c>
      <c r="I20" s="52">
        <f t="shared" si="1"/>
        <v>542.88</v>
      </c>
      <c r="J20" s="51" t="s">
        <v>38</v>
      </c>
      <c r="K20" s="55" t="s">
        <v>114</v>
      </c>
      <c r="L20" s="38" t="s">
        <v>40</v>
      </c>
      <c r="M20" s="84" t="s">
        <v>68</v>
      </c>
      <c r="N20" s="55" t="s">
        <v>42</v>
      </c>
      <c r="O20" s="56" t="s">
        <v>43</v>
      </c>
      <c r="P20" s="55"/>
    </row>
    <row r="21" spans="1:16" s="68" customFormat="1" ht="111.75" customHeight="1">
      <c r="A21" s="38">
        <v>14</v>
      </c>
      <c r="B21" s="54" t="s">
        <v>15</v>
      </c>
      <c r="C21" s="78" t="s">
        <v>122</v>
      </c>
      <c r="D21" s="79">
        <v>42268</v>
      </c>
      <c r="E21" s="80" t="s">
        <v>83</v>
      </c>
      <c r="F21" s="81">
        <v>11</v>
      </c>
      <c r="G21" s="108">
        <f>2159.52*0.5</f>
        <v>1079.76</v>
      </c>
      <c r="H21" s="52">
        <f t="shared" si="0"/>
        <v>1295.712</v>
      </c>
      <c r="I21" s="52">
        <f t="shared" si="1"/>
        <v>14252.832</v>
      </c>
      <c r="J21" s="52" t="s">
        <v>38</v>
      </c>
      <c r="K21" s="53" t="s">
        <v>48</v>
      </c>
      <c r="L21" s="54" t="s">
        <v>40</v>
      </c>
      <c r="M21" s="82" t="s">
        <v>84</v>
      </c>
      <c r="N21" s="53" t="s">
        <v>42</v>
      </c>
      <c r="O21" s="56" t="s">
        <v>43</v>
      </c>
      <c r="P21" s="55"/>
    </row>
    <row r="22" spans="1:16" s="68" customFormat="1" ht="111.75" customHeight="1">
      <c r="A22" s="54">
        <v>15</v>
      </c>
      <c r="B22" s="38" t="s">
        <v>15</v>
      </c>
      <c r="C22" s="83" t="s">
        <v>121</v>
      </c>
      <c r="D22" s="48">
        <v>42004</v>
      </c>
      <c r="E22" s="49" t="s">
        <v>83</v>
      </c>
      <c r="F22" s="50">
        <v>4</v>
      </c>
      <c r="G22" s="109">
        <f>1669.75*0.5</f>
        <v>834.875</v>
      </c>
      <c r="H22" s="52">
        <f>G22*1.2</f>
        <v>1001.8499999999999</v>
      </c>
      <c r="I22" s="52">
        <f t="shared" si="1"/>
        <v>4007.3999999999996</v>
      </c>
      <c r="J22" s="51" t="s">
        <v>38</v>
      </c>
      <c r="K22" s="53" t="s">
        <v>48</v>
      </c>
      <c r="L22" s="38" t="s">
        <v>40</v>
      </c>
      <c r="M22" s="84" t="s">
        <v>85</v>
      </c>
      <c r="N22" s="55" t="s">
        <v>42</v>
      </c>
      <c r="O22" s="56" t="s">
        <v>43</v>
      </c>
      <c r="P22" s="55"/>
    </row>
    <row r="23" spans="1:16" s="68" customFormat="1" ht="87.75" customHeight="1">
      <c r="A23" s="38">
        <v>16</v>
      </c>
      <c r="B23" s="54" t="s">
        <v>15</v>
      </c>
      <c r="C23" s="78" t="s">
        <v>86</v>
      </c>
      <c r="D23" s="79">
        <v>42004</v>
      </c>
      <c r="E23" s="80" t="s">
        <v>82</v>
      </c>
      <c r="F23" s="81">
        <v>17</v>
      </c>
      <c r="G23" s="108">
        <f>50.25*0.5</f>
        <v>25.125</v>
      </c>
      <c r="H23" s="52">
        <f t="shared" si="0"/>
        <v>30.15</v>
      </c>
      <c r="I23" s="52">
        <f t="shared" si="1"/>
        <v>512.55</v>
      </c>
      <c r="J23" s="52" t="s">
        <v>38</v>
      </c>
      <c r="K23" s="53" t="s">
        <v>114</v>
      </c>
      <c r="L23" s="54" t="s">
        <v>40</v>
      </c>
      <c r="M23" s="82" t="s">
        <v>41</v>
      </c>
      <c r="N23" s="53" t="s">
        <v>42</v>
      </c>
      <c r="O23" s="56" t="s">
        <v>43</v>
      </c>
      <c r="P23" s="55"/>
    </row>
    <row r="24" spans="1:16" s="68" customFormat="1" ht="87.75" customHeight="1">
      <c r="A24" s="54">
        <v>17</v>
      </c>
      <c r="B24" s="38" t="s">
        <v>15</v>
      </c>
      <c r="C24" s="83" t="s">
        <v>87</v>
      </c>
      <c r="D24" s="48">
        <v>42004</v>
      </c>
      <c r="E24" s="49" t="s">
        <v>37</v>
      </c>
      <c r="F24" s="50">
        <v>2</v>
      </c>
      <c r="G24" s="109">
        <f>1355.93*0.5</f>
        <v>677.965</v>
      </c>
      <c r="H24" s="52">
        <f t="shared" si="0"/>
        <v>813.558</v>
      </c>
      <c r="I24" s="52">
        <f t="shared" si="1"/>
        <v>1627.116</v>
      </c>
      <c r="J24" s="51" t="s">
        <v>38</v>
      </c>
      <c r="K24" s="53" t="s">
        <v>48</v>
      </c>
      <c r="L24" s="38" t="s">
        <v>40</v>
      </c>
      <c r="M24" s="84" t="s">
        <v>88</v>
      </c>
      <c r="N24" s="55" t="s">
        <v>42</v>
      </c>
      <c r="O24" s="56" t="s">
        <v>43</v>
      </c>
      <c r="P24" s="55"/>
    </row>
    <row r="25" spans="1:16" s="68" customFormat="1" ht="87.75" customHeight="1">
      <c r="A25" s="38">
        <v>18</v>
      </c>
      <c r="B25" s="54" t="s">
        <v>15</v>
      </c>
      <c r="C25" s="78" t="s">
        <v>89</v>
      </c>
      <c r="D25" s="79">
        <v>42004</v>
      </c>
      <c r="E25" s="80" t="s">
        <v>37</v>
      </c>
      <c r="F25" s="81">
        <v>1</v>
      </c>
      <c r="G25" s="108">
        <f>310.17*0.5</f>
        <v>155.085</v>
      </c>
      <c r="H25" s="52">
        <f t="shared" si="0"/>
        <v>186.102</v>
      </c>
      <c r="I25" s="52">
        <f t="shared" si="1"/>
        <v>186.102</v>
      </c>
      <c r="J25" s="52" t="s">
        <v>38</v>
      </c>
      <c r="K25" s="53" t="s">
        <v>114</v>
      </c>
      <c r="L25" s="54" t="s">
        <v>40</v>
      </c>
      <c r="M25" s="82" t="s">
        <v>41</v>
      </c>
      <c r="N25" s="53" t="s">
        <v>42</v>
      </c>
      <c r="O25" s="56" t="s">
        <v>43</v>
      </c>
      <c r="P25" s="55"/>
    </row>
    <row r="26" spans="1:16" s="68" customFormat="1" ht="87.75" customHeight="1">
      <c r="A26" s="54">
        <v>19</v>
      </c>
      <c r="B26" s="38" t="s">
        <v>15</v>
      </c>
      <c r="C26" s="83" t="s">
        <v>90</v>
      </c>
      <c r="D26" s="48">
        <v>42004</v>
      </c>
      <c r="E26" s="49" t="s">
        <v>63</v>
      </c>
      <c r="F26" s="50">
        <v>208</v>
      </c>
      <c r="G26" s="109">
        <f>61.32*0.5</f>
        <v>30.66</v>
      </c>
      <c r="H26" s="52">
        <f t="shared" si="0"/>
        <v>36.792</v>
      </c>
      <c r="I26" s="52">
        <f t="shared" si="1"/>
        <v>7652.736000000001</v>
      </c>
      <c r="J26" s="51" t="s">
        <v>38</v>
      </c>
      <c r="K26" s="53" t="s">
        <v>48</v>
      </c>
      <c r="L26" s="38" t="s">
        <v>40</v>
      </c>
      <c r="M26" s="84" t="s">
        <v>41</v>
      </c>
      <c r="N26" s="55" t="s">
        <v>42</v>
      </c>
      <c r="O26" s="56" t="s">
        <v>43</v>
      </c>
      <c r="P26" s="55"/>
    </row>
    <row r="27" spans="1:16" s="68" customFormat="1" ht="87.75" customHeight="1">
      <c r="A27" s="38">
        <v>20</v>
      </c>
      <c r="B27" s="54" t="s">
        <v>15</v>
      </c>
      <c r="C27" s="78" t="s">
        <v>91</v>
      </c>
      <c r="D27" s="79">
        <v>42004</v>
      </c>
      <c r="E27" s="80" t="s">
        <v>63</v>
      </c>
      <c r="F27" s="81">
        <v>200</v>
      </c>
      <c r="G27" s="108">
        <f>44.52*0.5</f>
        <v>22.26</v>
      </c>
      <c r="H27" s="52">
        <f t="shared" si="0"/>
        <v>26.712</v>
      </c>
      <c r="I27" s="52">
        <f t="shared" si="1"/>
        <v>5342.4</v>
      </c>
      <c r="J27" s="52" t="s">
        <v>38</v>
      </c>
      <c r="K27" s="53" t="s">
        <v>114</v>
      </c>
      <c r="L27" s="54" t="s">
        <v>40</v>
      </c>
      <c r="M27" s="82" t="s">
        <v>41</v>
      </c>
      <c r="N27" s="53" t="s">
        <v>42</v>
      </c>
      <c r="O27" s="56" t="s">
        <v>43</v>
      </c>
      <c r="P27" s="55"/>
    </row>
    <row r="28" spans="1:16" s="68" customFormat="1" ht="87.75" customHeight="1">
      <c r="A28" s="54">
        <v>21</v>
      </c>
      <c r="B28" s="38" t="s">
        <v>15</v>
      </c>
      <c r="C28" s="83" t="s">
        <v>92</v>
      </c>
      <c r="D28" s="48">
        <v>42004</v>
      </c>
      <c r="E28" s="49" t="s">
        <v>63</v>
      </c>
      <c r="F28" s="50">
        <v>545</v>
      </c>
      <c r="G28" s="109">
        <f>34.09*0.5</f>
        <v>17.045</v>
      </c>
      <c r="H28" s="52">
        <f t="shared" si="0"/>
        <v>20.454</v>
      </c>
      <c r="I28" s="52">
        <f t="shared" si="1"/>
        <v>11147.43</v>
      </c>
      <c r="J28" s="51" t="s">
        <v>38</v>
      </c>
      <c r="K28" s="53" t="s">
        <v>48</v>
      </c>
      <c r="L28" s="38" t="s">
        <v>40</v>
      </c>
      <c r="M28" s="84" t="s">
        <v>41</v>
      </c>
      <c r="N28" s="55" t="s">
        <v>42</v>
      </c>
      <c r="O28" s="56" t="s">
        <v>43</v>
      </c>
      <c r="P28" s="55"/>
    </row>
    <row r="29" spans="1:16" s="68" customFormat="1" ht="87.75" customHeight="1">
      <c r="A29" s="38">
        <v>22</v>
      </c>
      <c r="B29" s="54" t="s">
        <v>15</v>
      </c>
      <c r="C29" s="105" t="s">
        <v>93</v>
      </c>
      <c r="D29" s="79">
        <v>42849</v>
      </c>
      <c r="E29" s="80" t="s">
        <v>44</v>
      </c>
      <c r="F29" s="81">
        <v>1.636</v>
      </c>
      <c r="G29" s="108">
        <f>80667.74*0.5</f>
        <v>40333.87</v>
      </c>
      <c r="H29" s="52">
        <f t="shared" si="0"/>
        <v>48400.644</v>
      </c>
      <c r="I29" s="52">
        <f t="shared" si="1"/>
        <v>79183.453584</v>
      </c>
      <c r="J29" s="52" t="s">
        <v>38</v>
      </c>
      <c r="K29" s="53" t="s">
        <v>64</v>
      </c>
      <c r="L29" s="54" t="s">
        <v>40</v>
      </c>
      <c r="M29" s="82" t="s">
        <v>41</v>
      </c>
      <c r="N29" s="53" t="s">
        <v>42</v>
      </c>
      <c r="O29" s="56" t="s">
        <v>43</v>
      </c>
      <c r="P29" s="55"/>
    </row>
    <row r="30" spans="1:16" s="68" customFormat="1" ht="87.75" customHeight="1">
      <c r="A30" s="54">
        <v>23</v>
      </c>
      <c r="B30" s="38" t="s">
        <v>15</v>
      </c>
      <c r="C30" s="83" t="s">
        <v>94</v>
      </c>
      <c r="D30" s="48">
        <v>42852</v>
      </c>
      <c r="E30" s="49" t="s">
        <v>44</v>
      </c>
      <c r="F30" s="50">
        <v>0.117</v>
      </c>
      <c r="G30" s="109">
        <f>40876.67*0.5</f>
        <v>20438.335</v>
      </c>
      <c r="H30" s="52">
        <f t="shared" si="0"/>
        <v>24526.001999999997</v>
      </c>
      <c r="I30" s="52">
        <f t="shared" si="1"/>
        <v>2869.542234</v>
      </c>
      <c r="J30" s="51" t="s">
        <v>38</v>
      </c>
      <c r="K30" s="55" t="s">
        <v>55</v>
      </c>
      <c r="L30" s="38" t="s">
        <v>40</v>
      </c>
      <c r="M30" s="84" t="s">
        <v>41</v>
      </c>
      <c r="N30" s="55" t="s">
        <v>42</v>
      </c>
      <c r="O30" s="56" t="s">
        <v>43</v>
      </c>
      <c r="P30" s="55"/>
    </row>
    <row r="31" spans="1:16" s="68" customFormat="1" ht="87.75" customHeight="1">
      <c r="A31" s="38">
        <v>24</v>
      </c>
      <c r="B31" s="54" t="s">
        <v>15</v>
      </c>
      <c r="C31" s="78" t="s">
        <v>95</v>
      </c>
      <c r="D31" s="79">
        <v>42607</v>
      </c>
      <c r="E31" s="80" t="s">
        <v>37</v>
      </c>
      <c r="F31" s="81">
        <v>17</v>
      </c>
      <c r="G31" s="108">
        <f>7.11*0.5</f>
        <v>3.555</v>
      </c>
      <c r="H31" s="52">
        <f t="shared" si="0"/>
        <v>4.266</v>
      </c>
      <c r="I31" s="52">
        <f t="shared" si="1"/>
        <v>72.522</v>
      </c>
      <c r="J31" s="52" t="s">
        <v>38</v>
      </c>
      <c r="K31" s="53" t="s">
        <v>114</v>
      </c>
      <c r="L31" s="54" t="s">
        <v>40</v>
      </c>
      <c r="M31" s="82" t="s">
        <v>49</v>
      </c>
      <c r="N31" s="53" t="s">
        <v>42</v>
      </c>
      <c r="O31" s="56" t="s">
        <v>43</v>
      </c>
      <c r="P31" s="55"/>
    </row>
    <row r="32" spans="1:16" s="68" customFormat="1" ht="87.75" customHeight="1">
      <c r="A32" s="54">
        <v>25</v>
      </c>
      <c r="B32" s="38" t="s">
        <v>15</v>
      </c>
      <c r="C32" s="83" t="s">
        <v>96</v>
      </c>
      <c r="D32" s="48">
        <v>42004</v>
      </c>
      <c r="E32" s="49" t="s">
        <v>37</v>
      </c>
      <c r="F32" s="50">
        <v>29</v>
      </c>
      <c r="G32" s="109">
        <f>95.57*0.5</f>
        <v>47.785</v>
      </c>
      <c r="H32" s="52">
        <f t="shared" si="0"/>
        <v>57.34199999999999</v>
      </c>
      <c r="I32" s="52">
        <f t="shared" si="1"/>
        <v>1662.9179999999997</v>
      </c>
      <c r="J32" s="51" t="s">
        <v>38</v>
      </c>
      <c r="K32" s="55" t="s">
        <v>114</v>
      </c>
      <c r="L32" s="38" t="s">
        <v>40</v>
      </c>
      <c r="M32" s="84" t="s">
        <v>49</v>
      </c>
      <c r="N32" s="55" t="s">
        <v>42</v>
      </c>
      <c r="O32" s="56" t="s">
        <v>43</v>
      </c>
      <c r="P32" s="55"/>
    </row>
    <row r="33" spans="1:16" s="68" customFormat="1" ht="87.75" customHeight="1">
      <c r="A33" s="38">
        <v>26</v>
      </c>
      <c r="B33" s="54" t="s">
        <v>15</v>
      </c>
      <c r="C33" s="78" t="s">
        <v>96</v>
      </c>
      <c r="D33" s="79">
        <v>42004</v>
      </c>
      <c r="E33" s="80" t="s">
        <v>37</v>
      </c>
      <c r="F33" s="81">
        <v>30</v>
      </c>
      <c r="G33" s="108">
        <f>95.29*0.5</f>
        <v>47.645</v>
      </c>
      <c r="H33" s="52">
        <f t="shared" si="0"/>
        <v>57.174</v>
      </c>
      <c r="I33" s="52">
        <f t="shared" si="1"/>
        <v>1715.22</v>
      </c>
      <c r="J33" s="52" t="s">
        <v>38</v>
      </c>
      <c r="K33" s="53" t="s">
        <v>114</v>
      </c>
      <c r="L33" s="54" t="s">
        <v>40</v>
      </c>
      <c r="M33" s="82" t="s">
        <v>68</v>
      </c>
      <c r="N33" s="53" t="s">
        <v>42</v>
      </c>
      <c r="O33" s="56" t="s">
        <v>43</v>
      </c>
      <c r="P33" s="55"/>
    </row>
    <row r="34" spans="1:16" s="68" customFormat="1" ht="87.75" customHeight="1">
      <c r="A34" s="54">
        <v>27</v>
      </c>
      <c r="B34" s="54" t="s">
        <v>15</v>
      </c>
      <c r="C34" s="78" t="s">
        <v>97</v>
      </c>
      <c r="D34" s="79">
        <v>43190</v>
      </c>
      <c r="E34" s="80" t="s">
        <v>37</v>
      </c>
      <c r="F34" s="81">
        <v>2</v>
      </c>
      <c r="G34" s="108">
        <f>400*0.5</f>
        <v>200</v>
      </c>
      <c r="H34" s="52">
        <f t="shared" si="0"/>
        <v>240</v>
      </c>
      <c r="I34" s="52">
        <f t="shared" si="1"/>
        <v>480</v>
      </c>
      <c r="J34" s="52" t="s">
        <v>38</v>
      </c>
      <c r="K34" s="53" t="s">
        <v>51</v>
      </c>
      <c r="L34" s="54" t="s">
        <v>40</v>
      </c>
      <c r="M34" s="82" t="s">
        <v>41</v>
      </c>
      <c r="N34" s="53" t="s">
        <v>42</v>
      </c>
      <c r="O34" s="56" t="s">
        <v>43</v>
      </c>
      <c r="P34" s="55"/>
    </row>
    <row r="35" spans="1:16" s="68" customFormat="1" ht="87.75" customHeight="1">
      <c r="A35" s="38">
        <v>28</v>
      </c>
      <c r="B35" s="38" t="s">
        <v>15</v>
      </c>
      <c r="C35" s="83" t="s">
        <v>98</v>
      </c>
      <c r="D35" s="48">
        <v>42004</v>
      </c>
      <c r="E35" s="49" t="s">
        <v>37</v>
      </c>
      <c r="F35" s="50">
        <v>6</v>
      </c>
      <c r="G35" s="109">
        <f>46.12*0.5</f>
        <v>23.06</v>
      </c>
      <c r="H35" s="52">
        <f t="shared" si="0"/>
        <v>27.671999999999997</v>
      </c>
      <c r="I35" s="52">
        <f t="shared" si="1"/>
        <v>166.03199999999998</v>
      </c>
      <c r="J35" s="51" t="s">
        <v>38</v>
      </c>
      <c r="K35" s="53" t="s">
        <v>48</v>
      </c>
      <c r="L35" s="38" t="s">
        <v>40</v>
      </c>
      <c r="M35" s="84" t="s">
        <v>41</v>
      </c>
      <c r="N35" s="55" t="s">
        <v>42</v>
      </c>
      <c r="O35" s="56" t="s">
        <v>43</v>
      </c>
      <c r="P35" s="55"/>
    </row>
    <row r="36" spans="1:16" s="68" customFormat="1" ht="87.75" customHeight="1">
      <c r="A36" s="54">
        <v>29</v>
      </c>
      <c r="B36" s="54" t="s">
        <v>15</v>
      </c>
      <c r="C36" s="78" t="s">
        <v>99</v>
      </c>
      <c r="D36" s="79">
        <v>42004</v>
      </c>
      <c r="E36" s="80" t="s">
        <v>37</v>
      </c>
      <c r="F36" s="81">
        <v>15</v>
      </c>
      <c r="G36" s="108">
        <f>60.9*0.5</f>
        <v>30.45</v>
      </c>
      <c r="H36" s="52">
        <f t="shared" si="0"/>
        <v>36.54</v>
      </c>
      <c r="I36" s="52">
        <f t="shared" si="1"/>
        <v>548.1</v>
      </c>
      <c r="J36" s="52" t="s">
        <v>38</v>
      </c>
      <c r="K36" s="53" t="s">
        <v>48</v>
      </c>
      <c r="L36" s="54" t="s">
        <v>40</v>
      </c>
      <c r="M36" s="82" t="s">
        <v>41</v>
      </c>
      <c r="N36" s="53" t="s">
        <v>42</v>
      </c>
      <c r="O36" s="56" t="s">
        <v>43</v>
      </c>
      <c r="P36" s="55"/>
    </row>
    <row r="37" spans="1:16" s="68" customFormat="1" ht="87.75" customHeight="1">
      <c r="A37" s="38">
        <v>30</v>
      </c>
      <c r="B37" s="38" t="s">
        <v>15</v>
      </c>
      <c r="C37" s="83" t="s">
        <v>100</v>
      </c>
      <c r="D37" s="48">
        <v>42004</v>
      </c>
      <c r="E37" s="49" t="s">
        <v>37</v>
      </c>
      <c r="F37" s="50">
        <v>4</v>
      </c>
      <c r="G37" s="109">
        <f>65.4*0.5</f>
        <v>32.7</v>
      </c>
      <c r="H37" s="52">
        <f t="shared" si="0"/>
        <v>39.24</v>
      </c>
      <c r="I37" s="52">
        <f t="shared" si="1"/>
        <v>156.96</v>
      </c>
      <c r="J37" s="51" t="s">
        <v>38</v>
      </c>
      <c r="K37" s="53" t="s">
        <v>48</v>
      </c>
      <c r="L37" s="38" t="s">
        <v>40</v>
      </c>
      <c r="M37" s="84" t="s">
        <v>41</v>
      </c>
      <c r="N37" s="55" t="s">
        <v>42</v>
      </c>
      <c r="O37" s="56" t="s">
        <v>43</v>
      </c>
      <c r="P37" s="55"/>
    </row>
    <row r="38" spans="1:16" s="68" customFormat="1" ht="87.75" customHeight="1">
      <c r="A38" s="54">
        <v>31</v>
      </c>
      <c r="B38" s="54" t="s">
        <v>15</v>
      </c>
      <c r="C38" s="78" t="s">
        <v>101</v>
      </c>
      <c r="D38" s="79">
        <v>42004</v>
      </c>
      <c r="E38" s="80" t="s">
        <v>37</v>
      </c>
      <c r="F38" s="81">
        <v>1</v>
      </c>
      <c r="G38" s="108">
        <f>3381.36*0.5</f>
        <v>1690.68</v>
      </c>
      <c r="H38" s="52">
        <f t="shared" si="0"/>
        <v>2028.816</v>
      </c>
      <c r="I38" s="52">
        <f t="shared" si="1"/>
        <v>2028.816</v>
      </c>
      <c r="J38" s="52" t="s">
        <v>38</v>
      </c>
      <c r="K38" s="53" t="s">
        <v>48</v>
      </c>
      <c r="L38" s="54" t="s">
        <v>40</v>
      </c>
      <c r="M38" s="82" t="s">
        <v>41</v>
      </c>
      <c r="N38" s="53" t="s">
        <v>42</v>
      </c>
      <c r="O38" s="56" t="s">
        <v>43</v>
      </c>
      <c r="P38" s="55"/>
    </row>
    <row r="39" spans="1:16" s="68" customFormat="1" ht="87.75" customHeight="1">
      <c r="A39" s="38">
        <v>32</v>
      </c>
      <c r="B39" s="38" t="s">
        <v>15</v>
      </c>
      <c r="C39" s="83" t="s">
        <v>102</v>
      </c>
      <c r="D39" s="48">
        <v>42825</v>
      </c>
      <c r="E39" s="49" t="s">
        <v>37</v>
      </c>
      <c r="F39" s="50">
        <v>2</v>
      </c>
      <c r="G39" s="109">
        <f>15839.83*0.5</f>
        <v>7919.915</v>
      </c>
      <c r="H39" s="52">
        <f t="shared" si="0"/>
        <v>9503.898</v>
      </c>
      <c r="I39" s="52">
        <f t="shared" si="1"/>
        <v>19007.796</v>
      </c>
      <c r="J39" s="51" t="s">
        <v>38</v>
      </c>
      <c r="K39" s="55" t="s">
        <v>51</v>
      </c>
      <c r="L39" s="38" t="s">
        <v>72</v>
      </c>
      <c r="M39" s="84" t="s">
        <v>68</v>
      </c>
      <c r="N39" s="55" t="s">
        <v>42</v>
      </c>
      <c r="O39" s="56" t="s">
        <v>43</v>
      </c>
      <c r="P39" s="55"/>
    </row>
    <row r="40" spans="1:16" s="68" customFormat="1" ht="87.75" customHeight="1">
      <c r="A40" s="54">
        <v>33</v>
      </c>
      <c r="B40" s="38" t="s">
        <v>15</v>
      </c>
      <c r="C40" s="83" t="s">
        <v>103</v>
      </c>
      <c r="D40" s="48">
        <v>42450</v>
      </c>
      <c r="E40" s="49" t="s">
        <v>37</v>
      </c>
      <c r="F40" s="50">
        <v>4</v>
      </c>
      <c r="G40" s="109">
        <f>230*0.5</f>
        <v>115</v>
      </c>
      <c r="H40" s="52">
        <f t="shared" si="0"/>
        <v>138</v>
      </c>
      <c r="I40" s="52">
        <f t="shared" si="1"/>
        <v>552</v>
      </c>
      <c r="J40" s="51" t="s">
        <v>38</v>
      </c>
      <c r="K40" s="53" t="s">
        <v>48</v>
      </c>
      <c r="L40" s="38" t="s">
        <v>40</v>
      </c>
      <c r="M40" s="84" t="s">
        <v>41</v>
      </c>
      <c r="N40" s="55" t="s">
        <v>42</v>
      </c>
      <c r="O40" s="56" t="s">
        <v>43</v>
      </c>
      <c r="P40" s="55"/>
    </row>
    <row r="41" spans="1:16" s="68" customFormat="1" ht="87.75" customHeight="1">
      <c r="A41" s="38">
        <v>34</v>
      </c>
      <c r="B41" s="54" t="s">
        <v>15</v>
      </c>
      <c r="C41" s="78" t="s">
        <v>104</v>
      </c>
      <c r="D41" s="79">
        <v>42004</v>
      </c>
      <c r="E41" s="80" t="s">
        <v>37</v>
      </c>
      <c r="F41" s="81">
        <v>4</v>
      </c>
      <c r="G41" s="108">
        <f>-34.56*0.5</f>
        <v>-17.28</v>
      </c>
      <c r="H41" s="52">
        <f t="shared" si="0"/>
        <v>-20.736</v>
      </c>
      <c r="I41" s="52">
        <f t="shared" si="1"/>
        <v>-82.944</v>
      </c>
      <c r="J41" s="52" t="s">
        <v>38</v>
      </c>
      <c r="K41" s="53" t="s">
        <v>48</v>
      </c>
      <c r="L41" s="54" t="s">
        <v>40</v>
      </c>
      <c r="M41" s="82" t="s">
        <v>41</v>
      </c>
      <c r="N41" s="53" t="s">
        <v>42</v>
      </c>
      <c r="O41" s="56" t="s">
        <v>43</v>
      </c>
      <c r="P41" s="55"/>
    </row>
    <row r="42" spans="1:16" s="68" customFormat="1" ht="87.75" customHeight="1">
      <c r="A42" s="54">
        <v>35</v>
      </c>
      <c r="B42" s="38" t="s">
        <v>15</v>
      </c>
      <c r="C42" s="83" t="s">
        <v>105</v>
      </c>
      <c r="D42" s="48">
        <v>42268</v>
      </c>
      <c r="E42" s="49" t="s">
        <v>83</v>
      </c>
      <c r="F42" s="50">
        <v>5</v>
      </c>
      <c r="G42" s="109">
        <f>1410.87*0.5</f>
        <v>705.435</v>
      </c>
      <c r="H42" s="52">
        <f t="shared" si="0"/>
        <v>846.5219999999999</v>
      </c>
      <c r="I42" s="52">
        <f t="shared" si="1"/>
        <v>4232.61</v>
      </c>
      <c r="J42" s="51" t="s">
        <v>38</v>
      </c>
      <c r="K42" s="53" t="s">
        <v>48</v>
      </c>
      <c r="L42" s="38" t="s">
        <v>40</v>
      </c>
      <c r="M42" s="84" t="s">
        <v>106</v>
      </c>
      <c r="N42" s="55" t="s">
        <v>42</v>
      </c>
      <c r="O42" s="56" t="s">
        <v>43</v>
      </c>
      <c r="P42" s="55"/>
    </row>
    <row r="43" spans="1:16" s="68" customFormat="1" ht="87.75" customHeight="1">
      <c r="A43" s="38">
        <v>36</v>
      </c>
      <c r="B43" s="54" t="s">
        <v>15</v>
      </c>
      <c r="C43" s="78" t="s">
        <v>107</v>
      </c>
      <c r="D43" s="79">
        <v>42004</v>
      </c>
      <c r="E43" s="80" t="s">
        <v>37</v>
      </c>
      <c r="F43" s="81">
        <v>165</v>
      </c>
      <c r="G43" s="108">
        <f>10*0.5</f>
        <v>5</v>
      </c>
      <c r="H43" s="52">
        <f t="shared" si="0"/>
        <v>6</v>
      </c>
      <c r="I43" s="52">
        <f t="shared" si="1"/>
        <v>990</v>
      </c>
      <c r="J43" s="52" t="s">
        <v>38</v>
      </c>
      <c r="K43" s="53" t="s">
        <v>48</v>
      </c>
      <c r="L43" s="54" t="s">
        <v>40</v>
      </c>
      <c r="M43" s="82" t="s">
        <v>106</v>
      </c>
      <c r="N43" s="53" t="s">
        <v>42</v>
      </c>
      <c r="O43" s="56" t="s">
        <v>43</v>
      </c>
      <c r="P43" s="55"/>
    </row>
    <row r="44" spans="1:16" s="68" customFormat="1" ht="87.75" customHeight="1">
      <c r="A44" s="54">
        <v>37</v>
      </c>
      <c r="B44" s="54" t="s">
        <v>15</v>
      </c>
      <c r="C44" s="78" t="s">
        <v>108</v>
      </c>
      <c r="D44" s="79">
        <v>42004</v>
      </c>
      <c r="E44" s="80" t="s">
        <v>37</v>
      </c>
      <c r="F44" s="81">
        <v>1</v>
      </c>
      <c r="G44" s="108">
        <f>31236.07*0.5</f>
        <v>15618.035</v>
      </c>
      <c r="H44" s="52">
        <f t="shared" si="0"/>
        <v>18741.642</v>
      </c>
      <c r="I44" s="52">
        <f t="shared" si="1"/>
        <v>18741.642</v>
      </c>
      <c r="J44" s="52" t="s">
        <v>38</v>
      </c>
      <c r="K44" s="53" t="s">
        <v>55</v>
      </c>
      <c r="L44" s="54" t="s">
        <v>40</v>
      </c>
      <c r="M44" s="82" t="s">
        <v>41</v>
      </c>
      <c r="N44" s="53" t="s">
        <v>42</v>
      </c>
      <c r="O44" s="56" t="s">
        <v>43</v>
      </c>
      <c r="P44" s="55"/>
    </row>
    <row r="45" spans="1:16" s="68" customFormat="1" ht="87.75" customHeight="1">
      <c r="A45" s="38">
        <v>38</v>
      </c>
      <c r="B45" s="38" t="s">
        <v>15</v>
      </c>
      <c r="C45" s="83" t="s">
        <v>109</v>
      </c>
      <c r="D45" s="48">
        <v>42999</v>
      </c>
      <c r="E45" s="49" t="s">
        <v>37</v>
      </c>
      <c r="F45" s="50">
        <v>1</v>
      </c>
      <c r="G45" s="109">
        <f>5644.92*0.5</f>
        <v>2822.46</v>
      </c>
      <c r="H45" s="52">
        <f t="shared" si="0"/>
        <v>3386.9519999999998</v>
      </c>
      <c r="I45" s="52">
        <f t="shared" si="1"/>
        <v>3386.9519999999998</v>
      </c>
      <c r="J45" s="51" t="s">
        <v>38</v>
      </c>
      <c r="K45" s="55" t="s">
        <v>55</v>
      </c>
      <c r="L45" s="38" t="s">
        <v>40</v>
      </c>
      <c r="M45" s="84" t="s">
        <v>110</v>
      </c>
      <c r="N45" s="55" t="s">
        <v>42</v>
      </c>
      <c r="O45" s="56" t="s">
        <v>43</v>
      </c>
      <c r="P45" s="55"/>
    </row>
    <row r="46" spans="1:16" s="68" customFormat="1" ht="87.75" customHeight="1">
      <c r="A46" s="54">
        <v>39</v>
      </c>
      <c r="B46" s="54" t="s">
        <v>15</v>
      </c>
      <c r="C46" s="78" t="s">
        <v>111</v>
      </c>
      <c r="D46" s="79">
        <v>43131</v>
      </c>
      <c r="E46" s="80" t="s">
        <v>63</v>
      </c>
      <c r="F46" s="81">
        <v>9</v>
      </c>
      <c r="G46" s="108">
        <f>207.46*0.5</f>
        <v>103.73</v>
      </c>
      <c r="H46" s="52">
        <f t="shared" si="0"/>
        <v>124.476</v>
      </c>
      <c r="I46" s="52">
        <f t="shared" si="1"/>
        <v>1120.284</v>
      </c>
      <c r="J46" s="52" t="s">
        <v>38</v>
      </c>
      <c r="K46" s="53" t="s">
        <v>48</v>
      </c>
      <c r="L46" s="54" t="s">
        <v>40</v>
      </c>
      <c r="M46" s="82" t="s">
        <v>110</v>
      </c>
      <c r="N46" s="53" t="s">
        <v>42</v>
      </c>
      <c r="O46" s="56" t="s">
        <v>43</v>
      </c>
      <c r="P46" s="55"/>
    </row>
    <row r="47" spans="1:16" s="68" customFormat="1" ht="87.75" customHeight="1">
      <c r="A47" s="38">
        <v>40</v>
      </c>
      <c r="B47" s="38" t="s">
        <v>15</v>
      </c>
      <c r="C47" s="83" t="s">
        <v>112</v>
      </c>
      <c r="D47" s="48">
        <v>42004</v>
      </c>
      <c r="E47" s="49" t="s">
        <v>113</v>
      </c>
      <c r="F47" s="50">
        <v>0.05</v>
      </c>
      <c r="G47" s="109">
        <f>20763.8*0.5</f>
        <v>10381.9</v>
      </c>
      <c r="H47" s="52">
        <f t="shared" si="0"/>
        <v>12458.279999999999</v>
      </c>
      <c r="I47" s="52">
        <f t="shared" si="1"/>
        <v>622.914</v>
      </c>
      <c r="J47" s="51" t="s">
        <v>38</v>
      </c>
      <c r="K47" s="55" t="s">
        <v>114</v>
      </c>
      <c r="L47" s="38" t="s">
        <v>40</v>
      </c>
      <c r="M47" s="84" t="s">
        <v>68</v>
      </c>
      <c r="N47" s="55" t="s">
        <v>42</v>
      </c>
      <c r="O47" s="56" t="s">
        <v>43</v>
      </c>
      <c r="P47" s="55"/>
    </row>
    <row r="48" spans="1:16" s="68" customFormat="1" ht="87.75" customHeight="1">
      <c r="A48" s="54">
        <v>41</v>
      </c>
      <c r="B48" s="54" t="s">
        <v>15</v>
      </c>
      <c r="C48" s="78" t="s">
        <v>115</v>
      </c>
      <c r="D48" s="79">
        <v>42004</v>
      </c>
      <c r="E48" s="80" t="s">
        <v>113</v>
      </c>
      <c r="F48" s="81">
        <v>0.05</v>
      </c>
      <c r="G48" s="108">
        <f>20763.8*0.5</f>
        <v>10381.9</v>
      </c>
      <c r="H48" s="52">
        <f t="shared" si="0"/>
        <v>12458.279999999999</v>
      </c>
      <c r="I48" s="52">
        <f t="shared" si="1"/>
        <v>622.914</v>
      </c>
      <c r="J48" s="52" t="s">
        <v>38</v>
      </c>
      <c r="K48" s="53" t="s">
        <v>114</v>
      </c>
      <c r="L48" s="54" t="s">
        <v>40</v>
      </c>
      <c r="M48" s="82" t="s">
        <v>68</v>
      </c>
      <c r="N48" s="53" t="s">
        <v>42</v>
      </c>
      <c r="O48" s="56" t="s">
        <v>43</v>
      </c>
      <c r="P48" s="55"/>
    </row>
    <row r="49" spans="1:16" s="68" customFormat="1" ht="87.75" customHeight="1">
      <c r="A49" s="38">
        <v>42</v>
      </c>
      <c r="B49" s="38" t="s">
        <v>15</v>
      </c>
      <c r="C49" s="83" t="s">
        <v>116</v>
      </c>
      <c r="D49" s="48">
        <v>42004</v>
      </c>
      <c r="E49" s="49" t="s">
        <v>82</v>
      </c>
      <c r="F49" s="50">
        <v>85</v>
      </c>
      <c r="G49" s="109">
        <f>20.59*0.5</f>
        <v>10.295</v>
      </c>
      <c r="H49" s="52">
        <f t="shared" si="0"/>
        <v>12.354</v>
      </c>
      <c r="I49" s="52">
        <f t="shared" si="1"/>
        <v>1050.09</v>
      </c>
      <c r="J49" s="51" t="s">
        <v>38</v>
      </c>
      <c r="K49" s="55" t="s">
        <v>114</v>
      </c>
      <c r="L49" s="38" t="s">
        <v>40</v>
      </c>
      <c r="M49" s="84" t="s">
        <v>68</v>
      </c>
      <c r="N49" s="55" t="s">
        <v>42</v>
      </c>
      <c r="O49" s="56" t="s">
        <v>43</v>
      </c>
      <c r="P49" s="55"/>
    </row>
    <row r="50" spans="1:16" s="68" customFormat="1" ht="87.75" customHeight="1">
      <c r="A50" s="54">
        <v>43</v>
      </c>
      <c r="B50" s="54" t="s">
        <v>15</v>
      </c>
      <c r="C50" s="78" t="s">
        <v>117</v>
      </c>
      <c r="D50" s="79">
        <v>42102</v>
      </c>
      <c r="E50" s="80" t="s">
        <v>37</v>
      </c>
      <c r="F50" s="81">
        <v>13</v>
      </c>
      <c r="G50" s="108">
        <f>97.9*0.5</f>
        <v>48.95</v>
      </c>
      <c r="H50" s="52">
        <f t="shared" si="0"/>
        <v>58.74</v>
      </c>
      <c r="I50" s="52">
        <f t="shared" si="1"/>
        <v>763.62</v>
      </c>
      <c r="J50" s="52" t="s">
        <v>38</v>
      </c>
      <c r="K50" s="53" t="s">
        <v>48</v>
      </c>
      <c r="L50" s="54" t="s">
        <v>40</v>
      </c>
      <c r="M50" s="82" t="s">
        <v>106</v>
      </c>
      <c r="N50" s="53" t="s">
        <v>42</v>
      </c>
      <c r="O50" s="56" t="s">
        <v>43</v>
      </c>
      <c r="P50" s="55"/>
    </row>
    <row r="51" spans="1:16" s="68" customFormat="1" ht="87.75" customHeight="1">
      <c r="A51" s="38">
        <v>44</v>
      </c>
      <c r="B51" s="38" t="s">
        <v>15</v>
      </c>
      <c r="C51" s="83" t="s">
        <v>118</v>
      </c>
      <c r="D51" s="48">
        <v>42194</v>
      </c>
      <c r="E51" s="49" t="s">
        <v>37</v>
      </c>
      <c r="F51" s="50">
        <v>25</v>
      </c>
      <c r="G51" s="109">
        <f>60.71*0.5</f>
        <v>30.355</v>
      </c>
      <c r="H51" s="52">
        <f t="shared" si="0"/>
        <v>36.426</v>
      </c>
      <c r="I51" s="52">
        <f t="shared" si="1"/>
        <v>910.6500000000001</v>
      </c>
      <c r="J51" s="51" t="s">
        <v>38</v>
      </c>
      <c r="K51" s="53" t="s">
        <v>48</v>
      </c>
      <c r="L51" s="38" t="s">
        <v>40</v>
      </c>
      <c r="M51" s="84" t="s">
        <v>106</v>
      </c>
      <c r="N51" s="55" t="s">
        <v>42</v>
      </c>
      <c r="O51" s="56" t="s">
        <v>43</v>
      </c>
      <c r="P51" s="55"/>
    </row>
    <row r="52" spans="1:16" s="68" customFormat="1" ht="87.75" customHeight="1">
      <c r="A52" s="54">
        <v>45</v>
      </c>
      <c r="B52" s="54" t="s">
        <v>15</v>
      </c>
      <c r="C52" s="78" t="s">
        <v>119</v>
      </c>
      <c r="D52" s="79">
        <v>42202</v>
      </c>
      <c r="E52" s="80" t="s">
        <v>37</v>
      </c>
      <c r="F52" s="81">
        <v>9</v>
      </c>
      <c r="G52" s="108">
        <f>374.08*0.5</f>
        <v>187.04</v>
      </c>
      <c r="H52" s="52">
        <f t="shared" si="0"/>
        <v>224.44799999999998</v>
      </c>
      <c r="I52" s="52">
        <f t="shared" si="1"/>
        <v>2020.0319999999997</v>
      </c>
      <c r="J52" s="52" t="s">
        <v>38</v>
      </c>
      <c r="K52" s="53" t="s">
        <v>48</v>
      </c>
      <c r="L52" s="54" t="s">
        <v>40</v>
      </c>
      <c r="M52" s="82" t="s">
        <v>120</v>
      </c>
      <c r="N52" s="53" t="s">
        <v>42</v>
      </c>
      <c r="O52" s="56" t="s">
        <v>43</v>
      </c>
      <c r="P52" s="55"/>
    </row>
    <row r="53" spans="1:16" s="93" customFormat="1" ht="15">
      <c r="A53" s="85"/>
      <c r="B53" s="86" t="s">
        <v>15</v>
      </c>
      <c r="C53" s="87" t="s">
        <v>7</v>
      </c>
      <c r="D53" s="88"/>
      <c r="E53" s="85"/>
      <c r="F53" s="89"/>
      <c r="G53" s="90"/>
      <c r="H53" s="52"/>
      <c r="I53" s="90">
        <f>SUM(I8:I52)</f>
        <v>194249.31781799998</v>
      </c>
      <c r="J53" s="90"/>
      <c r="K53" s="91"/>
      <c r="L53" s="92"/>
      <c r="M53" s="87"/>
      <c r="N53" s="91"/>
      <c r="O53" s="91"/>
      <c r="P53" s="91"/>
    </row>
    <row r="54" spans="1:13" s="23" customFormat="1" ht="15">
      <c r="A54" s="65"/>
      <c r="C54" s="22"/>
      <c r="D54" s="94"/>
      <c r="E54" s="65"/>
      <c r="F54" s="66"/>
      <c r="G54" s="67"/>
      <c r="H54" s="67"/>
      <c r="I54" s="67"/>
      <c r="J54" s="67"/>
      <c r="L54" s="68"/>
      <c r="M54" s="22"/>
    </row>
    <row r="55" spans="1:14" s="58" customFormat="1" ht="15">
      <c r="A55" s="119" t="s">
        <v>31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</row>
    <row r="56" spans="1:14" s="23" customFormat="1" ht="15">
      <c r="A56" s="111" t="s">
        <v>30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1:13" s="23" customFormat="1" ht="15">
      <c r="A57" s="111" t="s">
        <v>19</v>
      </c>
      <c r="B57" s="111"/>
      <c r="C57" s="111"/>
      <c r="D57" s="64" t="s">
        <v>123</v>
      </c>
      <c r="E57" s="65"/>
      <c r="F57" s="66"/>
      <c r="G57" s="67"/>
      <c r="H57" s="67"/>
      <c r="I57" s="67"/>
      <c r="J57" s="67"/>
      <c r="L57" s="68"/>
      <c r="M57" s="22"/>
    </row>
    <row r="58" spans="1:13" s="23" customFormat="1" ht="15">
      <c r="A58" s="111" t="s">
        <v>20</v>
      </c>
      <c r="B58" s="111"/>
      <c r="C58" s="111"/>
      <c r="D58" s="64" t="s">
        <v>124</v>
      </c>
      <c r="E58" s="65"/>
      <c r="F58" s="66"/>
      <c r="G58" s="67"/>
      <c r="H58" s="67"/>
      <c r="I58" s="67"/>
      <c r="J58" s="67"/>
      <c r="L58" s="68"/>
      <c r="M58" s="22"/>
    </row>
    <row r="59" spans="1:13" s="23" customFormat="1" ht="15">
      <c r="A59" s="69"/>
      <c r="B59" s="69"/>
      <c r="C59" s="63"/>
      <c r="D59" s="64" t="s">
        <v>125</v>
      </c>
      <c r="E59" s="65"/>
      <c r="F59" s="66"/>
      <c r="G59" s="67"/>
      <c r="H59" s="67"/>
      <c r="I59" s="67"/>
      <c r="J59" s="67"/>
      <c r="L59" s="68"/>
      <c r="M59" s="22"/>
    </row>
    <row r="60" spans="1:13" s="23" customFormat="1" ht="15">
      <c r="A60" s="69"/>
      <c r="B60" s="69"/>
      <c r="C60" s="63"/>
      <c r="D60" s="64" t="s">
        <v>23</v>
      </c>
      <c r="E60" s="65"/>
      <c r="F60" s="66"/>
      <c r="G60" s="67"/>
      <c r="H60" s="67"/>
      <c r="I60" s="67"/>
      <c r="J60" s="67"/>
      <c r="L60" s="68"/>
      <c r="M60" s="22"/>
    </row>
    <row r="61" spans="1:13" s="23" customFormat="1" ht="15">
      <c r="A61" s="111" t="s">
        <v>21</v>
      </c>
      <c r="B61" s="111"/>
      <c r="C61" s="111"/>
      <c r="D61" s="64" t="s">
        <v>126</v>
      </c>
      <c r="E61" s="65"/>
      <c r="F61" s="66"/>
      <c r="G61" s="67"/>
      <c r="H61" s="67"/>
      <c r="I61" s="67"/>
      <c r="J61" s="67"/>
      <c r="L61" s="68"/>
      <c r="M61" s="22"/>
    </row>
    <row r="62" spans="1:13" s="23" customFormat="1" ht="15">
      <c r="A62" s="110" t="s">
        <v>22</v>
      </c>
      <c r="B62" s="110"/>
      <c r="C62" s="110"/>
      <c r="D62" s="64" t="s">
        <v>127</v>
      </c>
      <c r="E62" s="65"/>
      <c r="F62" s="66"/>
      <c r="G62" s="67"/>
      <c r="H62" s="67"/>
      <c r="I62" s="67"/>
      <c r="J62" s="67"/>
      <c r="L62" s="68"/>
      <c r="M62" s="22"/>
    </row>
    <row r="63" spans="1:13" s="23" customFormat="1" ht="15">
      <c r="A63" s="65"/>
      <c r="C63" s="22"/>
      <c r="D63" s="64" t="s">
        <v>23</v>
      </c>
      <c r="E63" s="65"/>
      <c r="F63" s="66"/>
      <c r="G63" s="67"/>
      <c r="H63" s="67"/>
      <c r="I63" s="67"/>
      <c r="J63" s="67"/>
      <c r="L63" s="68"/>
      <c r="M63" s="22"/>
    </row>
    <row r="64" spans="1:13" s="23" customFormat="1" ht="15">
      <c r="A64" s="65"/>
      <c r="C64" s="22"/>
      <c r="D64" s="64" t="s">
        <v>23</v>
      </c>
      <c r="E64" s="65"/>
      <c r="F64" s="66"/>
      <c r="G64" s="67"/>
      <c r="H64" s="67"/>
      <c r="I64" s="67"/>
      <c r="J64" s="67"/>
      <c r="L64" s="68"/>
      <c r="M64" s="22"/>
    </row>
    <row r="65" spans="1:13" s="23" customFormat="1" ht="15">
      <c r="A65" s="65"/>
      <c r="C65" s="22"/>
      <c r="D65" s="94"/>
      <c r="E65" s="65"/>
      <c r="F65" s="66"/>
      <c r="G65" s="67"/>
      <c r="H65" s="67"/>
      <c r="I65" s="67"/>
      <c r="J65" s="67"/>
      <c r="L65" s="68"/>
      <c r="M65" s="22"/>
    </row>
  </sheetData>
  <sheetProtection/>
  <autoFilter ref="A6:T53"/>
  <mergeCells count="12">
    <mergeCell ref="N2:O2"/>
    <mergeCell ref="N4:O4"/>
    <mergeCell ref="N3:O3"/>
    <mergeCell ref="N5:O5"/>
    <mergeCell ref="A56:N56"/>
    <mergeCell ref="A57:C57"/>
    <mergeCell ref="A58:C58"/>
    <mergeCell ref="A61:C61"/>
    <mergeCell ref="A62:C62"/>
    <mergeCell ref="A3:M3"/>
    <mergeCell ref="A7:O7"/>
    <mergeCell ref="A55:N55"/>
  </mergeCells>
  <printOptions/>
  <pageMargins left="0.2362204724409449" right="0.2362204724409449" top="0.3937007874015748" bottom="0.2362204724409449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trufanovfa</dc:creator>
  <cp:keywords/>
  <dc:description/>
  <cp:lastModifiedBy>user</cp:lastModifiedBy>
  <cp:lastPrinted>2024-03-15T13:04:45Z</cp:lastPrinted>
  <dcterms:created xsi:type="dcterms:W3CDTF">2011-09-19T08:28:47Z</dcterms:created>
  <dcterms:modified xsi:type="dcterms:W3CDTF">2024-03-15T13:05:11Z</dcterms:modified>
  <cp:category/>
  <cp:version/>
  <cp:contentType/>
  <cp:contentStatus/>
</cp:coreProperties>
</file>